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sahiindiaglass-my.sharepoint.com/personal/jay_dattani_aisglass_com/Documents/K Drive back up_Jay/Stock Exchanges/2025-26/Q2. July-Aug-Sept/1. July/4. SHP_21-07-25/"/>
    </mc:Choice>
  </mc:AlternateContent>
  <xr:revisionPtr revIDLastSave="380" documentId="13_ncr:1_{F90154F8-0AC0-4605-8CAF-A919938206CA}" xr6:coauthVersionLast="47" xr6:coauthVersionMax="47" xr10:uidLastSave="{D3A0EC69-E3AE-44DE-B339-B0AD5337542A}"/>
  <workbookProtection lockStructure="1"/>
  <bookViews>
    <workbookView xWindow="-110" yWindow="-110" windowWidth="19420" windowHeight="10420" xr2:uid="{00000000-000D-0000-FFFF-FFFF00000000}"/>
  </bookViews>
  <sheets>
    <sheet name="Introductory" sheetId="2" r:id="rId1"/>
    <sheet name="Table I" sheetId="1" r:id="rId2"/>
    <sheet name="Table II" sheetId="3" r:id="rId3"/>
    <sheet name="Table III" sheetId="4" r:id="rId4"/>
    <sheet name="Table IV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3" l="1"/>
  <c r="N50" i="3"/>
  <c r="L50" i="3"/>
  <c r="K50" i="3"/>
  <c r="I50" i="3"/>
  <c r="H50" i="3"/>
  <c r="G50" i="3"/>
  <c r="D50" i="3"/>
  <c r="C50" i="3"/>
  <c r="R50" i="3"/>
  <c r="P50" i="3"/>
  <c r="O50" i="3"/>
  <c r="J50" i="3"/>
  <c r="F50" i="3"/>
  <c r="E50" i="3"/>
  <c r="G52" i="3"/>
  <c r="R52" i="3" s="1"/>
  <c r="D40" i="3"/>
  <c r="D25" i="3"/>
  <c r="D21" i="3"/>
  <c r="B13" i="2"/>
  <c r="B14" i="2" s="1"/>
  <c r="B15" i="2" s="1"/>
  <c r="B16" i="2" s="1"/>
  <c r="B17" i="2" s="1"/>
  <c r="B18" i="2" s="1"/>
  <c r="B12" i="2"/>
  <c r="B11" i="2"/>
  <c r="H52" i="3" l="1"/>
  <c r="I52" i="3"/>
  <c r="K52" i="3" s="1"/>
  <c r="S52" i="3" l="1"/>
  <c r="N52" i="3"/>
  <c r="L52" i="3"/>
  <c r="Q10" i="3" l="1"/>
  <c r="D11" i="3"/>
  <c r="D23" i="3"/>
  <c r="I59" i="3" l="1"/>
  <c r="K59" i="3" s="1"/>
  <c r="S59" i="3" s="1"/>
  <c r="I54" i="3"/>
  <c r="I51" i="3"/>
  <c r="K51" i="3" s="1"/>
  <c r="S51" i="3" s="1"/>
  <c r="I49" i="3"/>
  <c r="K49" i="3" s="1"/>
  <c r="I48" i="3"/>
  <c r="K48" i="3" s="1"/>
  <c r="I47" i="3"/>
  <c r="K47" i="3" s="1"/>
  <c r="S47" i="3" s="1"/>
  <c r="G69" i="3"/>
  <c r="I69" i="3" s="1"/>
  <c r="K69" i="3" s="1"/>
  <c r="S69" i="3" s="1"/>
  <c r="G62" i="3"/>
  <c r="I62" i="3" s="1"/>
  <c r="K62" i="3" s="1"/>
  <c r="S62" i="3" s="1"/>
  <c r="G61" i="3"/>
  <c r="I61" i="3" s="1"/>
  <c r="K61" i="3" s="1"/>
  <c r="S61" i="3" s="1"/>
  <c r="G59" i="3"/>
  <c r="G55" i="3"/>
  <c r="I55" i="3" s="1"/>
  <c r="K55" i="3" s="1"/>
  <c r="S55" i="3" s="1"/>
  <c r="G54" i="3"/>
  <c r="G53" i="3" s="1"/>
  <c r="G51" i="3"/>
  <c r="G48" i="3"/>
  <c r="G47" i="3"/>
  <c r="D10" i="3"/>
  <c r="C53" i="3"/>
  <c r="I53" i="3" l="1"/>
  <c r="K54" i="3"/>
  <c r="L54" i="3"/>
  <c r="K53" i="3"/>
  <c r="H54" i="3"/>
  <c r="D53" i="3"/>
  <c r="N54" i="3" l="1"/>
  <c r="S54" i="3"/>
  <c r="S53" i="3" s="1"/>
  <c r="G56" i="4"/>
  <c r="I56" i="4" s="1"/>
  <c r="K56" i="4" s="1"/>
  <c r="N60" i="3"/>
  <c r="L60" i="3"/>
  <c r="H60" i="3"/>
  <c r="N63" i="3"/>
  <c r="L63" i="3"/>
  <c r="H63" i="3"/>
  <c r="G63" i="3"/>
  <c r="I63" i="3" s="1"/>
  <c r="K63" i="3" s="1"/>
  <c r="S63" i="3" s="1"/>
  <c r="C58" i="3"/>
  <c r="D60" i="3"/>
  <c r="A11" i="3"/>
  <c r="A12" i="3" s="1"/>
  <c r="A13" i="3" s="1"/>
  <c r="A14" i="3" s="1"/>
  <c r="A15" i="3" s="1"/>
  <c r="A16" i="3" s="1"/>
  <c r="A17" i="3" s="1"/>
  <c r="G60" i="3" l="1"/>
  <c r="I60" i="3" s="1"/>
  <c r="K60" i="3" s="1"/>
  <c r="S60" i="3" s="1"/>
  <c r="S58" i="3" s="1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D58" i="3"/>
  <c r="N56" i="4"/>
  <c r="L56" i="4"/>
  <c r="H56" i="4"/>
  <c r="R63" i="3"/>
  <c r="G60" i="4"/>
  <c r="H60" i="4" s="1"/>
  <c r="R29" i="4"/>
  <c r="K58" i="3" l="1"/>
  <c r="I58" i="3"/>
  <c r="G58" i="3"/>
  <c r="I60" i="4"/>
  <c r="K60" i="4" s="1"/>
  <c r="L60" i="4" s="1"/>
  <c r="N60" i="4" l="1"/>
  <c r="K46" i="3"/>
  <c r="I46" i="3"/>
  <c r="G46" i="3"/>
  <c r="D46" i="3"/>
  <c r="V45" i="3"/>
  <c r="U45" i="3"/>
  <c r="T45" i="3"/>
  <c r="S49" i="3"/>
  <c r="S48" i="3"/>
  <c r="S68" i="3"/>
  <c r="R48" i="3"/>
  <c r="N48" i="3"/>
  <c r="L48" i="3"/>
  <c r="H48" i="3"/>
  <c r="S46" i="3" l="1"/>
  <c r="S45" i="3" s="1"/>
  <c r="S70" i="3"/>
  <c r="D39" i="3"/>
  <c r="L69" i="3" l="1"/>
  <c r="N69" i="3"/>
  <c r="N55" i="3"/>
  <c r="N53" i="3" s="1"/>
  <c r="N51" i="3"/>
  <c r="N49" i="3"/>
  <c r="N47" i="3"/>
  <c r="L61" i="3"/>
  <c r="L62" i="3"/>
  <c r="L59" i="3"/>
  <c r="L55" i="3"/>
  <c r="L53" i="3" s="1"/>
  <c r="L51" i="3"/>
  <c r="L49" i="3"/>
  <c r="L47" i="3"/>
  <c r="H61" i="3"/>
  <c r="H62" i="3"/>
  <c r="H59" i="3"/>
  <c r="H55" i="3"/>
  <c r="H53" i="3" s="1"/>
  <c r="H51" i="3"/>
  <c r="H49" i="3"/>
  <c r="H47" i="3"/>
  <c r="H58" i="3" l="1"/>
  <c r="L58" i="3"/>
  <c r="H46" i="3"/>
  <c r="L46" i="3"/>
  <c r="N46" i="3"/>
  <c r="R62" i="4"/>
  <c r="Q62" i="4"/>
  <c r="P62" i="4"/>
  <c r="O62" i="4"/>
  <c r="M62" i="4"/>
  <c r="J62" i="4"/>
  <c r="F62" i="4"/>
  <c r="E62" i="4"/>
  <c r="C62" i="4"/>
  <c r="D62" i="4"/>
  <c r="G57" i="4"/>
  <c r="H57" i="4" s="1"/>
  <c r="G55" i="4"/>
  <c r="H55" i="4" s="1"/>
  <c r="G50" i="4"/>
  <c r="H50" i="4" s="1"/>
  <c r="G41" i="4"/>
  <c r="I41" i="4" s="1"/>
  <c r="S34" i="4"/>
  <c r="R34" i="4"/>
  <c r="Q34" i="4"/>
  <c r="P34" i="4"/>
  <c r="O34" i="4"/>
  <c r="M34" i="4"/>
  <c r="J34" i="4"/>
  <c r="F34" i="4"/>
  <c r="E34" i="4"/>
  <c r="D34" i="4"/>
  <c r="C34" i="4"/>
  <c r="G33" i="4"/>
  <c r="H33" i="4" s="1"/>
  <c r="G31" i="4"/>
  <c r="H31" i="4" s="1"/>
  <c r="G32" i="4"/>
  <c r="H32" i="4" s="1"/>
  <c r="S29" i="4"/>
  <c r="Q29" i="4"/>
  <c r="P29" i="4"/>
  <c r="O29" i="4"/>
  <c r="M29" i="4"/>
  <c r="J29" i="4"/>
  <c r="F29" i="4"/>
  <c r="E29" i="4"/>
  <c r="D29" i="4"/>
  <c r="C29" i="4"/>
  <c r="G13" i="4"/>
  <c r="I13" i="4" s="1"/>
  <c r="K13" i="4" s="1"/>
  <c r="G12" i="4"/>
  <c r="I12" i="4" s="1"/>
  <c r="S20" i="4"/>
  <c r="R20" i="4"/>
  <c r="Q20" i="4"/>
  <c r="P20" i="4"/>
  <c r="O20" i="4"/>
  <c r="M20" i="4"/>
  <c r="J20" i="4"/>
  <c r="F20" i="4"/>
  <c r="E20" i="4"/>
  <c r="D20" i="4"/>
  <c r="C20" i="4"/>
  <c r="G28" i="4"/>
  <c r="I28" i="4" s="1"/>
  <c r="K28" i="4" s="1"/>
  <c r="G25" i="4"/>
  <c r="H25" i="4" s="1"/>
  <c r="N24" i="4"/>
  <c r="L24" i="4"/>
  <c r="H24" i="4"/>
  <c r="N22" i="4"/>
  <c r="L22" i="4"/>
  <c r="H22" i="4"/>
  <c r="K19" i="4"/>
  <c r="N19" i="4" s="1"/>
  <c r="I19" i="4"/>
  <c r="G19" i="4"/>
  <c r="H19" i="4" s="1"/>
  <c r="K18" i="4"/>
  <c r="N18" i="4" s="1"/>
  <c r="I18" i="4"/>
  <c r="G18" i="4"/>
  <c r="H18" i="4" s="1"/>
  <c r="K17" i="4"/>
  <c r="N17" i="4" s="1"/>
  <c r="I17" i="4"/>
  <c r="G17" i="4"/>
  <c r="H17" i="4" s="1"/>
  <c r="N16" i="4"/>
  <c r="L16" i="4"/>
  <c r="H16" i="4"/>
  <c r="N15" i="4"/>
  <c r="L15" i="4"/>
  <c r="H15" i="4"/>
  <c r="D17" i="3"/>
  <c r="G41" i="3"/>
  <c r="R41" i="3" s="1"/>
  <c r="P63" i="4" l="1"/>
  <c r="Q63" i="4"/>
  <c r="K41" i="4"/>
  <c r="N41" i="4" s="1"/>
  <c r="S41" i="4"/>
  <c r="S62" i="4" s="1"/>
  <c r="S63" i="4" s="1"/>
  <c r="J63" i="4"/>
  <c r="F63" i="4"/>
  <c r="E63" i="4"/>
  <c r="O63" i="4"/>
  <c r="M63" i="4"/>
  <c r="R63" i="4"/>
  <c r="C63" i="4"/>
  <c r="D63" i="4"/>
  <c r="I50" i="4"/>
  <c r="K50" i="4" s="1"/>
  <c r="L50" i="4" s="1"/>
  <c r="I57" i="4"/>
  <c r="K57" i="4" s="1"/>
  <c r="N57" i="4" s="1"/>
  <c r="I55" i="4"/>
  <c r="K55" i="4" s="1"/>
  <c r="N55" i="4" s="1"/>
  <c r="H34" i="4"/>
  <c r="I31" i="4"/>
  <c r="K31" i="4" s="1"/>
  <c r="L31" i="4" s="1"/>
  <c r="H12" i="4"/>
  <c r="H41" i="4"/>
  <c r="I25" i="4"/>
  <c r="I33" i="4"/>
  <c r="K33" i="4" s="1"/>
  <c r="N33" i="4" s="1"/>
  <c r="G34" i="4"/>
  <c r="I32" i="4"/>
  <c r="K32" i="4" s="1"/>
  <c r="L32" i="4" s="1"/>
  <c r="N13" i="4"/>
  <c r="L13" i="4"/>
  <c r="K12" i="4"/>
  <c r="L19" i="4"/>
  <c r="L18" i="4"/>
  <c r="L17" i="4"/>
  <c r="H41" i="3"/>
  <c r="I41" i="3"/>
  <c r="K41" i="3" s="1"/>
  <c r="S41" i="3" s="1"/>
  <c r="U9" i="1" l="1"/>
  <c r="N31" i="4"/>
  <c r="L41" i="4"/>
  <c r="L55" i="4"/>
  <c r="N50" i="4"/>
  <c r="L57" i="4"/>
  <c r="N32" i="4"/>
  <c r="L33" i="4"/>
  <c r="L34" i="4" s="1"/>
  <c r="I34" i="4"/>
  <c r="K34" i="4"/>
  <c r="K25" i="4"/>
  <c r="N12" i="4"/>
  <c r="L12" i="4"/>
  <c r="N41" i="3"/>
  <c r="L41" i="3"/>
  <c r="N34" i="4" l="1"/>
  <c r="L25" i="4"/>
  <c r="N25" i="4"/>
  <c r="G61" i="4" l="1"/>
  <c r="H61" i="4" s="1"/>
  <c r="I61" i="4" l="1"/>
  <c r="K61" i="4" s="1"/>
  <c r="N61" i="4" l="1"/>
  <c r="L61" i="4"/>
  <c r="G11" i="3" l="1"/>
  <c r="I11" i="3" s="1"/>
  <c r="K11" i="3" s="1"/>
  <c r="S11" i="3" s="1"/>
  <c r="G12" i="3"/>
  <c r="I12" i="3" s="1"/>
  <c r="K12" i="3" s="1"/>
  <c r="S12" i="3" s="1"/>
  <c r="G15" i="3"/>
  <c r="I15" i="3" s="1"/>
  <c r="K15" i="3" s="1"/>
  <c r="S15" i="3" s="1"/>
  <c r="G16" i="3"/>
  <c r="I16" i="3" s="1"/>
  <c r="K16" i="3" s="1"/>
  <c r="S16" i="3" s="1"/>
  <c r="G17" i="3"/>
  <c r="I17" i="3" s="1"/>
  <c r="K17" i="3" s="1"/>
  <c r="S17" i="3" s="1"/>
  <c r="G18" i="3"/>
  <c r="I18" i="3" s="1"/>
  <c r="K18" i="3" s="1"/>
  <c r="S18" i="3" s="1"/>
  <c r="G19" i="3"/>
  <c r="I19" i="3" s="1"/>
  <c r="K19" i="3" s="1"/>
  <c r="S19" i="3" s="1"/>
  <c r="G20" i="3"/>
  <c r="I20" i="3" s="1"/>
  <c r="K20" i="3" s="1"/>
  <c r="S20" i="3" s="1"/>
  <c r="G21" i="3"/>
  <c r="G22" i="3"/>
  <c r="I22" i="3" s="1"/>
  <c r="K22" i="3" s="1"/>
  <c r="S22" i="3" s="1"/>
  <c r="G23" i="3"/>
  <c r="I23" i="3" s="1"/>
  <c r="K23" i="3" s="1"/>
  <c r="S23" i="3" s="1"/>
  <c r="G24" i="3"/>
  <c r="I24" i="3" s="1"/>
  <c r="K24" i="3" s="1"/>
  <c r="S24" i="3" s="1"/>
  <c r="G25" i="3"/>
  <c r="I25" i="3" s="1"/>
  <c r="K25" i="3" s="1"/>
  <c r="S25" i="3" s="1"/>
  <c r="G26" i="3"/>
  <c r="I26" i="3" s="1"/>
  <c r="K26" i="3" s="1"/>
  <c r="S26" i="3" s="1"/>
  <c r="G27" i="3"/>
  <c r="I27" i="3" s="1"/>
  <c r="K27" i="3" s="1"/>
  <c r="S27" i="3" s="1"/>
  <c r="G28" i="3"/>
  <c r="I28" i="3" s="1"/>
  <c r="K28" i="3" s="1"/>
  <c r="S28" i="3" s="1"/>
  <c r="G29" i="3"/>
  <c r="I29" i="3" s="1"/>
  <c r="K29" i="3" s="1"/>
  <c r="S29" i="3" s="1"/>
  <c r="G30" i="3"/>
  <c r="I30" i="3" s="1"/>
  <c r="K30" i="3" s="1"/>
  <c r="S30" i="3" s="1"/>
  <c r="G31" i="3"/>
  <c r="I31" i="3" s="1"/>
  <c r="K31" i="3" s="1"/>
  <c r="S31" i="3" s="1"/>
  <c r="G32" i="3"/>
  <c r="I32" i="3" s="1"/>
  <c r="K32" i="3" s="1"/>
  <c r="S32" i="3" s="1"/>
  <c r="G33" i="3"/>
  <c r="I33" i="3" s="1"/>
  <c r="K33" i="3" s="1"/>
  <c r="S33" i="3" s="1"/>
  <c r="G34" i="3"/>
  <c r="I34" i="3" s="1"/>
  <c r="K34" i="3" s="1"/>
  <c r="S34" i="3" s="1"/>
  <c r="G35" i="3"/>
  <c r="I35" i="3" s="1"/>
  <c r="K35" i="3" s="1"/>
  <c r="S35" i="3" s="1"/>
  <c r="G36" i="3"/>
  <c r="I36" i="3" s="1"/>
  <c r="K36" i="3" s="1"/>
  <c r="S36" i="3" s="1"/>
  <c r="G38" i="3"/>
  <c r="I38" i="3" s="1"/>
  <c r="K38" i="3" s="1"/>
  <c r="S38" i="3" s="1"/>
  <c r="G39" i="3"/>
  <c r="I39" i="3" s="1"/>
  <c r="K39" i="3" s="1"/>
  <c r="S39" i="3" s="1"/>
  <c r="G42" i="3"/>
  <c r="I42" i="3" s="1"/>
  <c r="K42" i="3" s="1"/>
  <c r="S42" i="3" s="1"/>
  <c r="Q9" i="3"/>
  <c r="P9" i="3"/>
  <c r="O9" i="3"/>
  <c r="M9" i="3"/>
  <c r="F9" i="3"/>
  <c r="E9" i="3"/>
  <c r="C9" i="3"/>
  <c r="D37" i="3"/>
  <c r="G37" i="3" s="1"/>
  <c r="I37" i="3" s="1"/>
  <c r="K37" i="3" s="1"/>
  <c r="S37" i="3" s="1"/>
  <c r="R42" i="3" l="1"/>
  <c r="H42" i="3"/>
  <c r="N42" i="3"/>
  <c r="I21" i="3"/>
  <c r="K21" i="3" s="1"/>
  <c r="S21" i="3" s="1"/>
  <c r="L42" i="3"/>
  <c r="G47" i="4" l="1"/>
  <c r="I47" i="4" s="1"/>
  <c r="K47" i="4" s="1"/>
  <c r="D13" i="3"/>
  <c r="D14" i="3"/>
  <c r="G14" i="3" s="1"/>
  <c r="I14" i="3" s="1"/>
  <c r="K14" i="3" s="1"/>
  <c r="S14" i="3" s="1"/>
  <c r="G13" i="3" l="1"/>
  <c r="I13" i="3" s="1"/>
  <c r="K13" i="3" s="1"/>
  <c r="S13" i="3" s="1"/>
  <c r="G10" i="3"/>
  <c r="I10" i="3" l="1"/>
  <c r="K10" i="3" l="1"/>
  <c r="S10" i="3" s="1"/>
  <c r="C46" i="3" l="1"/>
  <c r="Q45" i="3" l="1"/>
  <c r="Q56" i="3" s="1"/>
  <c r="M45" i="3"/>
  <c r="M56" i="3" s="1"/>
  <c r="G58" i="4" l="1"/>
  <c r="I58" i="4" s="1"/>
  <c r="K58" i="4" s="1"/>
  <c r="G54" i="4"/>
  <c r="I54" i="4" l="1"/>
  <c r="G44" i="4"/>
  <c r="H44" i="4" s="1"/>
  <c r="G27" i="4"/>
  <c r="I27" i="4" s="1"/>
  <c r="K27" i="4" s="1"/>
  <c r="I44" i="4" l="1"/>
  <c r="K44" i="4" s="1"/>
  <c r="K54" i="4"/>
  <c r="N44" i="4" l="1"/>
  <c r="L44" i="4"/>
  <c r="G43" i="4"/>
  <c r="I43" i="4" s="1"/>
  <c r="K43" i="4" s="1"/>
  <c r="G42" i="4"/>
  <c r="I42" i="4" l="1"/>
  <c r="G62" i="4"/>
  <c r="G26" i="4"/>
  <c r="G11" i="4"/>
  <c r="I11" i="4" s="1"/>
  <c r="K11" i="4" s="1"/>
  <c r="G9" i="4"/>
  <c r="K42" i="4" l="1"/>
  <c r="K62" i="4" s="1"/>
  <c r="I62" i="4"/>
  <c r="I9" i="4"/>
  <c r="G20" i="4"/>
  <c r="I26" i="4"/>
  <c r="G29" i="4"/>
  <c r="R22" i="3"/>
  <c r="G63" i="4" l="1"/>
  <c r="K26" i="4"/>
  <c r="K29" i="4" s="1"/>
  <c r="I29" i="4"/>
  <c r="K9" i="4"/>
  <c r="K20" i="4" s="1"/>
  <c r="I20" i="4"/>
  <c r="H42" i="4"/>
  <c r="L42" i="4"/>
  <c r="N42" i="4"/>
  <c r="K63" i="4" l="1"/>
  <c r="I63" i="4"/>
  <c r="N53" i="4"/>
  <c r="N52" i="4"/>
  <c r="N51" i="4"/>
  <c r="N59" i="4"/>
  <c r="N58" i="4"/>
  <c r="N54" i="4"/>
  <c r="N49" i="4"/>
  <c r="N48" i="4"/>
  <c r="N47" i="4"/>
  <c r="N46" i="4"/>
  <c r="N45" i="4"/>
  <c r="N43" i="4"/>
  <c r="N28" i="4"/>
  <c r="N14" i="4"/>
  <c r="N27" i="4"/>
  <c r="N26" i="4"/>
  <c r="N23" i="4"/>
  <c r="N11" i="4"/>
  <c r="N10" i="4"/>
  <c r="O11" i="1"/>
  <c r="M11" i="1"/>
  <c r="O10" i="1"/>
  <c r="M10" i="1"/>
  <c r="O8" i="1"/>
  <c r="M8" i="1"/>
  <c r="N13" i="1"/>
  <c r="O12" i="1"/>
  <c r="M12" i="1"/>
  <c r="N9" i="4"/>
  <c r="L53" i="4"/>
  <c r="L52" i="4"/>
  <c r="L51" i="4"/>
  <c r="L59" i="4"/>
  <c r="L58" i="4"/>
  <c r="L54" i="4"/>
  <c r="L49" i="4"/>
  <c r="L48" i="4"/>
  <c r="L47" i="4"/>
  <c r="L46" i="4"/>
  <c r="L45" i="4"/>
  <c r="L43" i="4"/>
  <c r="L28" i="4"/>
  <c r="L14" i="4"/>
  <c r="L27" i="4"/>
  <c r="L26" i="4"/>
  <c r="L23" i="4"/>
  <c r="L11" i="4"/>
  <c r="L10" i="4"/>
  <c r="L9" i="4"/>
  <c r="H53" i="4"/>
  <c r="H52" i="4"/>
  <c r="H51" i="4"/>
  <c r="H59" i="4"/>
  <c r="H58" i="4"/>
  <c r="H54" i="4"/>
  <c r="H49" i="4"/>
  <c r="H48" i="4"/>
  <c r="H47" i="4"/>
  <c r="H46" i="4"/>
  <c r="H45" i="4"/>
  <c r="H43" i="4"/>
  <c r="H28" i="4"/>
  <c r="H14" i="4"/>
  <c r="H13" i="4"/>
  <c r="H27" i="4"/>
  <c r="H26" i="4"/>
  <c r="H23" i="4"/>
  <c r="H11" i="4"/>
  <c r="H10" i="4"/>
  <c r="H9" i="4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N62" i="4" l="1"/>
  <c r="H62" i="4"/>
  <c r="L62" i="4"/>
  <c r="H29" i="4"/>
  <c r="N29" i="4"/>
  <c r="L29" i="4"/>
  <c r="L20" i="4"/>
  <c r="N20" i="4"/>
  <c r="H20" i="4"/>
  <c r="N63" i="4" l="1"/>
  <c r="L63" i="4"/>
  <c r="H63" i="4"/>
  <c r="H69" i="3" l="1"/>
  <c r="N62" i="3"/>
  <c r="N61" i="3"/>
  <c r="N59" i="3"/>
  <c r="N58" i="3" l="1"/>
  <c r="R10" i="3"/>
  <c r="R11" i="3"/>
  <c r="R12" i="3"/>
  <c r="R13" i="3"/>
  <c r="R14" i="3"/>
  <c r="R15" i="3"/>
  <c r="R16" i="3"/>
  <c r="R17" i="3"/>
  <c r="R18" i="3"/>
  <c r="R19" i="3"/>
  <c r="R20" i="3"/>
  <c r="R21" i="3"/>
  <c r="R23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7" i="3"/>
  <c r="R49" i="3"/>
  <c r="R51" i="3"/>
  <c r="R55" i="3"/>
  <c r="R59" i="3"/>
  <c r="R60" i="3"/>
  <c r="R61" i="3"/>
  <c r="R62" i="3"/>
  <c r="O53" i="3" l="1"/>
  <c r="P58" i="3"/>
  <c r="O58" i="3"/>
  <c r="P53" i="3"/>
  <c r="J68" i="3"/>
  <c r="J58" i="3"/>
  <c r="J53" i="3"/>
  <c r="J46" i="3"/>
  <c r="F68" i="3"/>
  <c r="E68" i="3"/>
  <c r="F58" i="3"/>
  <c r="E58" i="3"/>
  <c r="F53" i="3"/>
  <c r="E53" i="3"/>
  <c r="J45" i="3" l="1"/>
  <c r="J56" i="3" s="1"/>
  <c r="F70" i="3"/>
  <c r="J70" i="3"/>
  <c r="E70" i="3"/>
  <c r="N45" i="3"/>
  <c r="L45" i="3"/>
  <c r="K45" i="3"/>
  <c r="I45" i="3"/>
  <c r="H45" i="3"/>
  <c r="U12" i="1"/>
  <c r="T12" i="1"/>
  <c r="S12" i="1"/>
  <c r="R12" i="1"/>
  <c r="Q12" i="1"/>
  <c r="P12" i="1"/>
  <c r="U11" i="1"/>
  <c r="T11" i="1"/>
  <c r="S11" i="1"/>
  <c r="R11" i="1"/>
  <c r="Q11" i="1"/>
  <c r="P11" i="1"/>
  <c r="U10" i="1"/>
  <c r="T10" i="1"/>
  <c r="S10" i="1"/>
  <c r="R10" i="1"/>
  <c r="Q10" i="1"/>
  <c r="P10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Q58" i="3"/>
  <c r="D68" i="3"/>
  <c r="C68" i="3"/>
  <c r="G68" i="3"/>
  <c r="N68" i="3"/>
  <c r="L68" i="3"/>
  <c r="K68" i="3"/>
  <c r="I68" i="3"/>
  <c r="R46" i="3"/>
  <c r="C70" i="3" l="1"/>
  <c r="D45" i="3"/>
  <c r="R53" i="3"/>
  <c r="R45" i="3" s="1"/>
  <c r="G45" i="3"/>
  <c r="J71" i="3"/>
  <c r="J8" i="1" s="1"/>
  <c r="C45" i="3"/>
  <c r="C56" i="3" s="1"/>
  <c r="D70" i="3"/>
  <c r="K70" i="3"/>
  <c r="N70" i="3"/>
  <c r="R58" i="3"/>
  <c r="I70" i="3"/>
  <c r="L70" i="3"/>
  <c r="G70" i="3"/>
  <c r="H70" i="3"/>
  <c r="C71" i="3" l="1"/>
  <c r="C8" i="1" s="1"/>
  <c r="R68" i="3" l="1"/>
  <c r="R69" i="3"/>
  <c r="R70" i="3"/>
  <c r="Q71" i="3"/>
  <c r="S8" i="1" l="1"/>
  <c r="F46" i="3"/>
  <c r="E46" i="3"/>
  <c r="O46" i="3"/>
  <c r="O45" i="3" s="1"/>
  <c r="O56" i="3" s="1"/>
  <c r="O71" i="3" s="1"/>
  <c r="Q8" i="1" s="1"/>
  <c r="P46" i="3"/>
  <c r="P45" i="3" l="1"/>
  <c r="P56" i="3" s="1"/>
  <c r="P71" i="3" s="1"/>
  <c r="R8" i="1" s="1"/>
  <c r="E45" i="3"/>
  <c r="E56" i="3" s="1"/>
  <c r="E71" i="3" s="1"/>
  <c r="E8" i="1" s="1"/>
  <c r="F45" i="3"/>
  <c r="F56" i="3" s="1"/>
  <c r="F71" i="3" s="1"/>
  <c r="F8" i="1" s="1"/>
  <c r="C9" i="1"/>
  <c r="C13" i="1" s="1"/>
  <c r="G9" i="1"/>
  <c r="F9" i="1"/>
  <c r="T9" i="1"/>
  <c r="M9" i="1"/>
  <c r="M13" i="1" s="1"/>
  <c r="I9" i="1"/>
  <c r="Q9" i="1"/>
  <c r="Q13" i="1" s="1"/>
  <c r="E9" i="1"/>
  <c r="H9" i="1"/>
  <c r="J9" i="1"/>
  <c r="J13" i="1" s="1"/>
  <c r="K9" i="1"/>
  <c r="L9" i="1"/>
  <c r="D9" i="1"/>
  <c r="R9" i="1"/>
  <c r="P9" i="1"/>
  <c r="S9" i="1"/>
  <c r="S13" i="1" s="1"/>
  <c r="T13" i="1" s="1"/>
  <c r="R13" i="1" l="1"/>
  <c r="F13" i="1"/>
  <c r="E13" i="1"/>
  <c r="O9" i="1"/>
  <c r="O13" i="1" s="1"/>
  <c r="D9" i="3" l="1"/>
  <c r="D56" i="3" s="1"/>
  <c r="D71" i="3" s="1"/>
  <c r="D8" i="1" s="1"/>
  <c r="D13" i="1" s="1"/>
  <c r="D15" i="1" s="1"/>
  <c r="G40" i="3"/>
  <c r="G9" i="3" s="1"/>
  <c r="I40" i="3" l="1"/>
  <c r="I9" i="3" s="1"/>
  <c r="I56" i="3" s="1"/>
  <c r="I71" i="3" s="1"/>
  <c r="I8" i="1" s="1"/>
  <c r="I13" i="1" s="1"/>
  <c r="R40" i="3"/>
  <c r="G56" i="3"/>
  <c r="G71" i="3" s="1"/>
  <c r="R9" i="3"/>
  <c r="R56" i="3" s="1"/>
  <c r="H40" i="3"/>
  <c r="H9" i="3" s="1"/>
  <c r="H56" i="3" s="1"/>
  <c r="H71" i="3" s="1"/>
  <c r="H8" i="1" s="1"/>
  <c r="H13" i="1" s="1"/>
  <c r="K40" i="3" l="1"/>
  <c r="N40" i="3" s="1"/>
  <c r="N9" i="3" s="1"/>
  <c r="N56" i="3" s="1"/>
  <c r="N71" i="3" s="1"/>
  <c r="P8" i="1" s="1"/>
  <c r="P13" i="1" s="1"/>
  <c r="R71" i="3"/>
  <c r="T8" i="1" s="1"/>
  <c r="G8" i="1"/>
  <c r="G13" i="1" s="1"/>
  <c r="L40" i="3" l="1"/>
  <c r="L9" i="3" s="1"/>
  <c r="L56" i="3" s="1"/>
  <c r="L71" i="3" s="1"/>
  <c r="L8" i="1" s="1"/>
  <c r="L13" i="1" s="1"/>
  <c r="S40" i="3"/>
  <c r="S9" i="3" s="1"/>
  <c r="S56" i="3" s="1"/>
  <c r="S71" i="3" s="1"/>
  <c r="U8" i="1" s="1"/>
  <c r="U13" i="1" s="1"/>
  <c r="K9" i="3"/>
  <c r="K56" i="3" s="1"/>
  <c r="K71" i="3" s="1"/>
  <c r="K8" i="1" s="1"/>
  <c r="K13" i="1" s="1"/>
  <c r="K15" i="1" s="1"/>
</calcChain>
</file>

<file path=xl/sharedStrings.xml><?xml version="1.0" encoding="utf-8"?>
<sst xmlns="http://schemas.openxmlformats.org/spreadsheetml/2006/main" count="357" uniqueCount="239">
  <si>
    <t>Category
(I)</t>
  </si>
  <si>
    <t>Nos. Of shareholders
(III)</t>
  </si>
  <si>
    <t>No. of fully paid up equity shares held
(IV)</t>
  </si>
  <si>
    <t>No. Of Partly paid-up equity shares held
(V)</t>
  </si>
  <si>
    <t>No. Of shares underlying Depository Receipts
(VI)</t>
  </si>
  <si>
    <t>Total nos. shares
held
(VII) = (IV)+(V)+ (VI)</t>
  </si>
  <si>
    <t>Shareholding as a % of total no. of shares (calculated as per SCRR, 1957)
(VIII)
As a % of (A+B+C2)</t>
  </si>
  <si>
    <t>Number of Voting Rights
held in each class of
securities
(IX)</t>
  </si>
  <si>
    <t>No. Of Shares Underlying Outstanding convertible securities
(X)</t>
  </si>
  <si>
    <t>No. of Shares Underlying Outstanding Warrants (Xi)</t>
  </si>
  <si>
    <t>No. Of Shares Underlying Outstanding convertible securities and No. Of Warrants
(Xi) (a)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</si>
  <si>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</si>
  <si>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</si>
  <si>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</si>
  <si>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 
(XIV)</t>
  </si>
  <si>
    <t>No of Voting  (XIV)  Rights</t>
  </si>
  <si>
    <t>Total as a % of
(A+B+C)</t>
  </si>
  <si>
    <t>Class
eg:
X</t>
  </si>
  <si>
    <t>Class
eg:y</t>
  </si>
  <si>
    <t>Total</t>
  </si>
  <si>
    <t>No.
(a)</t>
  </si>
  <si>
    <t>As a % of total Shares held
(b)</t>
  </si>
  <si>
    <t>(A)</t>
  </si>
  <si>
    <t>Promoter &amp; Promoter Group</t>
  </si>
  <si>
    <t/>
  </si>
  <si>
    <t>(B)</t>
  </si>
  <si>
    <t>Public</t>
  </si>
  <si>
    <t>(C)</t>
  </si>
  <si>
    <t>Non Promoter- Non Public</t>
  </si>
  <si>
    <t>(C1)</t>
  </si>
  <si>
    <t>Shares underlying DRs</t>
  </si>
  <si>
    <t>(C2)</t>
  </si>
  <si>
    <t>Shares held by Employee Trusts</t>
  </si>
  <si>
    <t xml:space="preserve"> Name of Listed Entity:   Asahi India Glass Limited </t>
  </si>
  <si>
    <t xml:space="preserve"> Scrip Code and Name : NSE- ASAHIINDIA, BSE-515030</t>
  </si>
  <si>
    <t xml:space="preserve"> Share Holding Pattern Filed under: Reg. 31(1)(b)</t>
  </si>
  <si>
    <t xml:space="preserve"> Declaration:</t>
  </si>
  <si>
    <t>Sr. No.</t>
  </si>
  <si>
    <t>Particulars</t>
  </si>
  <si>
    <t>Yes</t>
  </si>
  <si>
    <t>No</t>
  </si>
  <si>
    <t>Whether the Listed Entity has issued any partly paid up shares?</t>
  </si>
  <si>
    <t>Whether the Listed Entity has issued any Convertible Securities ?</t>
  </si>
  <si>
    <t>Whether the Listed Entity has issued any warrants ?</t>
  </si>
  <si>
    <t>Whether the Listed Entity has any shares against which depository receipts are issued?</t>
  </si>
  <si>
    <t>Whether the Listed Entity has any shares in locked-in?</t>
  </si>
  <si>
    <t>Whether the Listed Entity has equity shares with differential voting rights?</t>
  </si>
  <si>
    <t>Name of Listed Entitiy: Asahi India Glass Ltd.</t>
  </si>
  <si>
    <t>Face Value: 1.00</t>
  </si>
  <si>
    <t>Number of Voting Rights held in each class of securities
(IX)</t>
  </si>
  <si>
    <t>Table II - Statement showing shareholding pattern of the Promoter and Promoter Group</t>
  </si>
  <si>
    <t>(a)</t>
  </si>
  <si>
    <t>(b)</t>
  </si>
  <si>
    <t>(c)</t>
  </si>
  <si>
    <t>(d)</t>
  </si>
  <si>
    <t>Government</t>
  </si>
  <si>
    <t>Institutions</t>
  </si>
  <si>
    <t>Foreign Portfolio Investor</t>
  </si>
  <si>
    <t>(e)</t>
  </si>
  <si>
    <t>Table III - Statement showing shareholding pattern of the Public shareholder</t>
  </si>
  <si>
    <t>Venture Capital Funds</t>
  </si>
  <si>
    <t>Foreign Venture Capital Investors</t>
  </si>
  <si>
    <t>(f)</t>
  </si>
  <si>
    <t>(g)</t>
  </si>
  <si>
    <t>(h)</t>
  </si>
  <si>
    <t>Provident Funds/ Pension Funds</t>
  </si>
  <si>
    <t>(i)</t>
  </si>
  <si>
    <t>NBFCs registered with RBI</t>
  </si>
  <si>
    <t>Overseas Depositories (holding DRs) (balancing figure)</t>
  </si>
  <si>
    <t>Table IV - Statement showing shareholding pattern of the Non Promoter- Non Public shareholder</t>
  </si>
  <si>
    <t xml:space="preserve">Category &amp; Name of shareholders
(I) </t>
  </si>
  <si>
    <t>PAN
(II)</t>
  </si>
  <si>
    <t xml:space="preserve">Nos. of shareholders
(III) </t>
  </si>
  <si>
    <t>No. of Partly paid-up equity shares held
(V)</t>
  </si>
  <si>
    <t>No. of shares underlying Depository Receipts
(VI)</t>
  </si>
  <si>
    <t>Total nos. shares held
(VII) = (IV)+(V)+ (VI)</t>
  </si>
  <si>
    <t>Shareholding % calculated as per SCRR, 1957  As a % of (A+B+C2)
(VIII)</t>
  </si>
  <si>
    <t>No. of Shares Underlying Outstanding convertible securities (including Warrants)
(X)</t>
  </si>
  <si>
    <t>Total Shareholding, as a % assuming full conversion of convertible securities (as a percentage of diluted share capital)
(XI)= As a % of (A+B+C2)</t>
  </si>
  <si>
    <t>Number of equity shares held in dematerialised form
(XIV)</t>
  </si>
  <si>
    <t>No of Voting Rights</t>
  </si>
  <si>
    <t>Total as a % of Total Voting rights</t>
  </si>
  <si>
    <t>No. 
(a)</t>
  </si>
  <si>
    <t>As a % of total Shares held 
(b)</t>
  </si>
  <si>
    <t>Class 
X</t>
  </si>
  <si>
    <t>Class 
Y</t>
  </si>
  <si>
    <t xml:space="preserve">  Indian</t>
  </si>
  <si>
    <t>Individuals / Hindu Undivided Family</t>
  </si>
  <si>
    <t>Pradeep Beniwal</t>
  </si>
  <si>
    <t>Bharat Roy Kapur</t>
  </si>
  <si>
    <t>Praveen Kumar Tiku</t>
  </si>
  <si>
    <t>Padma N Rao</t>
  </si>
  <si>
    <t>Central Government / State Government(s)</t>
  </si>
  <si>
    <t>Any Other (Specify)</t>
  </si>
  <si>
    <t>(d)(i)</t>
  </si>
  <si>
    <t>Bodies Corporate</t>
  </si>
  <si>
    <t>(d)(ii)</t>
  </si>
  <si>
    <t>Promoter Trust</t>
  </si>
  <si>
    <t>Sub Total (A)(1)</t>
  </si>
  <si>
    <t xml:space="preserve">  Foreign</t>
  </si>
  <si>
    <t>Individuals (Non-Resident Individuals/Foreign Individuals)</t>
  </si>
  <si>
    <t>(e)(i)</t>
  </si>
  <si>
    <t>Sub Total (A)(2)</t>
  </si>
  <si>
    <t>Total Shareholding Of Promoter And Promoter Group (A)= (A)(1)+(A)(2)</t>
  </si>
  <si>
    <t>Shashi Palamand</t>
  </si>
  <si>
    <t xml:space="preserve">No.
(a) </t>
  </si>
  <si>
    <t>As a % of total Shares held (Not applicable)
(b)</t>
  </si>
  <si>
    <t>Insurance Companies</t>
  </si>
  <si>
    <t>Sub Total (B)(1)</t>
  </si>
  <si>
    <t>Sub Total (B)(2)</t>
  </si>
  <si>
    <t>Non-Institutions</t>
  </si>
  <si>
    <t xml:space="preserve">Nemish S Shah                                                                                                                                                                                                                                             </t>
  </si>
  <si>
    <t>Trusts</t>
  </si>
  <si>
    <t>Hindu Undivided Family</t>
  </si>
  <si>
    <t>Clearing Member</t>
  </si>
  <si>
    <t>Sub Total (B)(3)</t>
  </si>
  <si>
    <t>Total Public Shareholding (B) = (B)(1)+(B)(2)+(B)(3)</t>
  </si>
  <si>
    <t>No.
(a) (Not applicable)</t>
  </si>
  <si>
    <t>Total Non-Promoter- Non Public Shareholding (C)= (C)(1)+(C)(2)</t>
  </si>
  <si>
    <t>Rajeev Khanna Tradelinks Llp</t>
  </si>
  <si>
    <t>Suryanarayana Rao Palamand</t>
  </si>
  <si>
    <t>Hiten Anantrai Sheth</t>
  </si>
  <si>
    <t xml:space="preserve">Gagandeep Credit Capital Pvt Ltd                                                                                                                                                                                                                          </t>
  </si>
  <si>
    <t xml:space="preserve">Shamyak Investment Private Limited                                                                                                                                                                                                                        </t>
  </si>
  <si>
    <t xml:space="preserve">Prescient Wealth Management Private Limited                                                                                                                                                                                                               </t>
  </si>
  <si>
    <t>0</t>
  </si>
  <si>
    <t>Alternate Investment Funds</t>
  </si>
  <si>
    <t>-</t>
  </si>
  <si>
    <t xml:space="preserve">Whether the Listed Entity has any significant beneficial owner? </t>
  </si>
  <si>
    <t>Krishna Chamanlal Tiku</t>
  </si>
  <si>
    <t>Financial Institutions / Banks</t>
  </si>
  <si>
    <t xml:space="preserve">Anuj A Sheth                                                                                                                                                                                                                                              </t>
  </si>
  <si>
    <t>Partnership Firm</t>
  </si>
  <si>
    <t>Charat Aggarwal</t>
  </si>
  <si>
    <t>Sanjaya Kumar</t>
  </si>
  <si>
    <t>Sundip Kumar</t>
  </si>
  <si>
    <t>Institutions (Domestic)</t>
  </si>
  <si>
    <t>Banks</t>
  </si>
  <si>
    <t>Asset reconstruction companies</t>
  </si>
  <si>
    <t>Sovereign Wealth Funds</t>
  </si>
  <si>
    <t>(j)</t>
  </si>
  <si>
    <t>Other Financial Institutions</t>
  </si>
  <si>
    <t>Institutions (Foreign)</t>
  </si>
  <si>
    <t>(k)</t>
  </si>
  <si>
    <t>Foreign Direct Investment</t>
  </si>
  <si>
    <t>Foreign Portfolio Investor Category I</t>
  </si>
  <si>
    <t>Foreign Portfolio Investor Category II</t>
  </si>
  <si>
    <t>Central Government / President of India</t>
  </si>
  <si>
    <t>State Government / Governor</t>
  </si>
  <si>
    <t>Shareholding by Companies or Body Corporate where Central / State Government is a Promoter</t>
  </si>
  <si>
    <t xml:space="preserve">Associate companies / subsidiaries </t>
  </si>
  <si>
    <t>Directors and their relatives (excluding independent directors and nominee directors)</t>
  </si>
  <si>
    <t>Key Managerial Personnel</t>
  </si>
  <si>
    <t>Relatives of promoters (other than ‘immediate relatives’ of promoters disclosed under ‘Promoter and Promoter Group’ category)</t>
  </si>
  <si>
    <t>Trusts where any person belonging to 'Promoter and Promoter Group' category is 'trustee', 'beneficiary', or 'author of the trust'</t>
  </si>
  <si>
    <t>Investor Education and Protection Fund (IEPF)</t>
  </si>
  <si>
    <t>Resident Individuals holding nominal share capital up to Rs. 2 lakhs.</t>
  </si>
  <si>
    <t>Resident Individual holding nominal share capital in excess of Rs. 2 lakhs.</t>
  </si>
  <si>
    <t>Non Resident Indians (NRIs)</t>
  </si>
  <si>
    <t>Foreign Nationals</t>
  </si>
  <si>
    <t>Foreign Companies</t>
  </si>
  <si>
    <t>Body Corporates</t>
  </si>
  <si>
    <t>(e )</t>
  </si>
  <si>
    <t>(l)</t>
  </si>
  <si>
    <t>(m)</t>
  </si>
  <si>
    <t>LLP</t>
  </si>
  <si>
    <t>Sub Total (B)(4)</t>
  </si>
  <si>
    <t xml:space="preserve"> Custodian/DR Holder- Name of DR Holders (if Available)</t>
  </si>
  <si>
    <t xml:space="preserve"> Employee Benefit Trust / Employee Welfare Trust under SEBI (Share Based Employee Benefits and Sweat Equity) Regulations, 2021</t>
  </si>
  <si>
    <t>Details of the shareholders acting as persons in Concert for Public</t>
  </si>
  <si>
    <t>Details of Shares which remain unclaimed for Public</t>
  </si>
  <si>
    <t>Table VI - Statement showing foreign ownership limits</t>
  </si>
  <si>
    <t>Particular</t>
  </si>
  <si>
    <t>Approved limits (%)</t>
  </si>
  <si>
    <t>Limits utilized (%)</t>
  </si>
  <si>
    <t>As on shareholding date</t>
  </si>
  <si>
    <t>As on the end of previous 1st quarter</t>
  </si>
  <si>
    <t>As on the end of previous 2nd quarter</t>
  </si>
  <si>
    <t>As on the end of previous 3rd quarter</t>
  </si>
  <si>
    <t>As on the end of previous 4th quarter</t>
  </si>
  <si>
    <t>Sub-categorization of shares</t>
  </si>
  <si>
    <t>Shareholding (No. of shares) under</t>
  </si>
  <si>
    <t>Sub-category (i)</t>
  </si>
  <si>
    <t>Sub-category (ii)</t>
  </si>
  <si>
    <t>Sub-category (iii)</t>
  </si>
  <si>
    <t>Name of Listed Entity: Asahi India Glass Ltd.</t>
  </si>
  <si>
    <t>Kanta Gupta</t>
  </si>
  <si>
    <t>Allied Fincap Services Private Limited</t>
  </si>
  <si>
    <t>Mutual Funds</t>
  </si>
  <si>
    <t>Overseas Bodies Corporates</t>
  </si>
  <si>
    <t>(d)(iii)</t>
  </si>
  <si>
    <t>Riva Agarwal</t>
  </si>
  <si>
    <t>Sanjay Labroo</t>
  </si>
  <si>
    <t>Leena S Labroo</t>
  </si>
  <si>
    <t>Nisheeta Labroo</t>
  </si>
  <si>
    <t>Aneesha Labroo</t>
  </si>
  <si>
    <t>Tarun R Tahiliani</t>
  </si>
  <si>
    <t>Satya Nand</t>
  </si>
  <si>
    <t>Malathi Raghunand</t>
  </si>
  <si>
    <t>Uma R Malhotra</t>
  </si>
  <si>
    <t>Sabina  Agarwal</t>
  </si>
  <si>
    <t>Ashok Kanhayalal Monga</t>
  </si>
  <si>
    <t>Dinesh K. Agarwal</t>
  </si>
  <si>
    <t>Sushma Aggarwal</t>
  </si>
  <si>
    <t>Dr Manjula Milind Pishawikar</t>
  </si>
  <si>
    <t>V D Nanda Kumar</t>
  </si>
  <si>
    <t>M Lakshmi</t>
  </si>
  <si>
    <t>Tanya Kumar</t>
  </si>
  <si>
    <t>Abhinav Agarwal</t>
  </si>
  <si>
    <t>M N Chaitanya</t>
  </si>
  <si>
    <t>Ashok Kapur</t>
  </si>
  <si>
    <t>Rajeev Khanna</t>
  </si>
  <si>
    <t>Daryao Singh</t>
  </si>
  <si>
    <t>Bhupinder Singh Kanwar</t>
  </si>
  <si>
    <t>Ajay Labroo</t>
  </si>
  <si>
    <t>Maruti Suzuki India Ltd</t>
  </si>
  <si>
    <t>Essel Marketing (P) Ltd</t>
  </si>
  <si>
    <t>Anuradha Mahindra</t>
  </si>
  <si>
    <t>Yuthica Keshub Mahindra</t>
  </si>
  <si>
    <t>Anil Monga</t>
  </si>
  <si>
    <t>AGC Inc.</t>
  </si>
  <si>
    <t>Anjali Dhar</t>
  </si>
  <si>
    <t>Escrow Account</t>
  </si>
  <si>
    <t>1</t>
  </si>
  <si>
    <t>Uma Ranjit Malhotra</t>
  </si>
  <si>
    <r>
      <rPr>
        <b/>
        <sz val="10"/>
        <color rgb="FFFF0000"/>
        <rFont val="Calibri"/>
        <family val="2"/>
        <scheme val="minor"/>
      </rPr>
      <t>Notes :-</t>
    </r>
    <r>
      <rPr>
        <sz val="10"/>
        <color rgb="FFFF0000"/>
        <rFont val="Calibri"/>
        <family val="2"/>
        <scheme val="minor"/>
      </rPr>
      <t xml:space="preserve">
 </t>
    </r>
    <r>
      <rPr>
        <sz val="10"/>
        <color theme="1"/>
        <rFont val="Calibri"/>
        <family val="2"/>
        <scheme val="minor"/>
      </rPr>
      <t>1) "Approved Limits (%)" means the limit approved by Board of Directors / shareholders of the Listed entity. In case the listed entity has no Board approved limit,  provide details of sectoral / statutory cap prescribed by Government / Regulatory Authorities
2) Details of Foreign ownership includes foreign ownership / investments as specified in Rule 2(s) of the Foreign Exchange Management (Non-debt Instruments) Rules, 2019, made under the Foreign Exchange Management Act, 1999.</t>
    </r>
  </si>
  <si>
    <t>Quarter Ended: 31.12.2024</t>
  </si>
  <si>
    <t>Shareholding Pattern for the Quarter ended 31st March, 2025 under Regulation 31 of SEBI (Listing Obligations and Disclosure Requirements) Regulations, 2015</t>
  </si>
  <si>
    <t>Shareholding Pattern for the Quarter ended 30th June, 2025 under Regulation 31 of SEBI (Listing Obligations and Disclosure Requirements) Regulations, 2015</t>
  </si>
  <si>
    <t>Quarter Ended: 30.06.2025</t>
  </si>
  <si>
    <t>Whether Listed Entity has granted any ESOPs, which are outstanding?</t>
  </si>
  <si>
    <t>Whether any shares held by promoters are encumbered under "Pledged"?</t>
  </si>
  <si>
    <t>Whether any shares held by promoters are encumbered under "Non-Disposal Undertaking"?</t>
  </si>
  <si>
    <t>Whether any shares held by promoters are encumbered, other than by way of Pledge or NDU, if any?</t>
  </si>
  <si>
    <t>Lans Business LLP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</si>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</sst>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;[Red]0"/>
    <numFmt numFmtId="166" formatCode="0.00;[Red]0.00"/>
    <numFmt numFmtId="167" formatCode="_ * #,##0_ ;_ * \-#,##0_ ;_ * &quot;-&quot;??_ ;_ @_ "/>
    <numFmt numFmtId="168" formatCode="0.0000"/>
    <numFmt numFmtId="169" formatCode="_ * #,##0.0_ ;_ * \-#,##0.0_ ;_ * &quot;-&quot;??_ ;_ 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1"/>
    </font>
    <font>
      <b/>
      <sz val="9"/>
      <color theme="1"/>
      <name val="Calibri"/>
      <family val="1"/>
    </font>
    <font>
      <sz val="9"/>
      <color theme="1"/>
      <name val="Calibri"/>
      <family val="1"/>
      <scheme val="minor"/>
    </font>
    <font>
      <b/>
      <sz val="9"/>
      <color theme="1"/>
      <name val="Calibri"/>
      <family val="1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4" applyNumberFormat="0" applyAlignment="0" applyProtection="0"/>
    <xf numFmtId="0" fontId="14" fillId="7" borderId="15" applyNumberFormat="0" applyAlignment="0" applyProtection="0"/>
    <xf numFmtId="0" fontId="15" fillId="7" borderId="14" applyNumberFormat="0" applyAlignment="0" applyProtection="0"/>
    <xf numFmtId="0" fontId="16" fillId="0" borderId="16" applyNumberFormat="0" applyFill="0" applyAlignment="0" applyProtection="0"/>
    <xf numFmtId="0" fontId="17" fillId="8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1" fillId="9" borderId="18" applyNumberFormat="0" applyFont="0" applyAlignment="0" applyProtection="0"/>
    <xf numFmtId="0" fontId="22" fillId="0" borderId="0" applyNumberFormat="0" applyFill="0" applyBorder="0" applyAlignment="0" applyProtection="0"/>
  </cellStyleXfs>
  <cellXfs count="197">
    <xf numFmtId="0" fontId="0" fillId="0" borderId="0" xfId="0"/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0" xfId="0" applyFont="1"/>
    <xf numFmtId="43" fontId="25" fillId="0" borderId="0" xfId="1" applyFont="1" applyFill="1"/>
    <xf numFmtId="0" fontId="37" fillId="0" borderId="0" xfId="0" applyFont="1"/>
    <xf numFmtId="0" fontId="42" fillId="0" borderId="0" xfId="0" applyFont="1"/>
    <xf numFmtId="0" fontId="3" fillId="0" borderId="0" xfId="0" applyFont="1"/>
    <xf numFmtId="0" fontId="30" fillId="0" borderId="0" xfId="0" applyFont="1"/>
    <xf numFmtId="0" fontId="26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2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7" fontId="0" fillId="0" borderId="0" xfId="0" applyNumberFormat="1"/>
    <xf numFmtId="2" fontId="0" fillId="0" borderId="0" xfId="0" applyNumberFormat="1"/>
    <xf numFmtId="167" fontId="0" fillId="0" borderId="0" xfId="0" applyNumberFormat="1" applyAlignment="1">
      <alignment wrapText="1"/>
    </xf>
    <xf numFmtId="167" fontId="18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0" fontId="39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 wrapText="1"/>
    </xf>
    <xf numFmtId="2" fontId="34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right" vertical="top"/>
    </xf>
    <xf numFmtId="1" fontId="28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2" fontId="28" fillId="0" borderId="1" xfId="1" applyNumberFormat="1" applyFont="1" applyFill="1" applyBorder="1" applyAlignment="1">
      <alignment vertical="center"/>
    </xf>
    <xf numFmtId="2" fontId="28" fillId="0" borderId="1" xfId="0" applyNumberFormat="1" applyFont="1" applyBorder="1" applyAlignment="1">
      <alignment vertical="center"/>
    </xf>
    <xf numFmtId="167" fontId="28" fillId="0" borderId="1" xfId="1" applyNumberFormat="1" applyFont="1" applyFill="1" applyBorder="1" applyAlignment="1">
      <alignment vertical="center"/>
    </xf>
    <xf numFmtId="0" fontId="34" fillId="0" borderId="1" xfId="0" applyFont="1" applyBorder="1"/>
    <xf numFmtId="167" fontId="28" fillId="0" borderId="1" xfId="1" applyNumberFormat="1" applyFont="1" applyFill="1" applyBorder="1" applyAlignment="1">
      <alignment horizontal="right"/>
    </xf>
    <xf numFmtId="167" fontId="28" fillId="0" borderId="1" xfId="1" applyNumberFormat="1" applyFont="1" applyFill="1" applyBorder="1" applyAlignment="1" applyProtection="1">
      <alignment horizontal="right"/>
      <protection hidden="1"/>
    </xf>
    <xf numFmtId="169" fontId="28" fillId="0" borderId="1" xfId="1" applyNumberFormat="1" applyFont="1" applyFill="1" applyBorder="1" applyAlignment="1" applyProtection="1">
      <alignment horizontal="right"/>
      <protection hidden="1"/>
    </xf>
    <xf numFmtId="2" fontId="28" fillId="0" borderId="1" xfId="1" applyNumberFormat="1" applyFont="1" applyFill="1" applyBorder="1" applyAlignment="1" applyProtection="1">
      <alignment horizontal="right"/>
      <protection hidden="1"/>
    </xf>
    <xf numFmtId="167" fontId="28" fillId="0" borderId="1" xfId="1" quotePrefix="1" applyNumberFormat="1" applyFont="1" applyFill="1" applyBorder="1" applyAlignment="1" applyProtection="1">
      <alignment horizontal="right"/>
      <protection hidden="1"/>
    </xf>
    <xf numFmtId="43" fontId="28" fillId="0" borderId="1" xfId="1" applyFont="1" applyFill="1" applyBorder="1" applyAlignment="1" applyProtection="1">
      <alignment horizontal="right"/>
      <protection hidden="1"/>
    </xf>
    <xf numFmtId="43" fontId="28" fillId="0" borderId="1" xfId="0" applyNumberFormat="1" applyFont="1" applyBorder="1" applyAlignment="1" applyProtection="1">
      <alignment horizontal="right"/>
      <protection hidden="1"/>
    </xf>
    <xf numFmtId="167" fontId="34" fillId="0" borderId="1" xfId="0" applyNumberFormat="1" applyFont="1" applyBorder="1"/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 applyProtection="1">
      <alignment wrapText="1"/>
      <protection locked="0"/>
    </xf>
    <xf numFmtId="167" fontId="27" fillId="0" borderId="1" xfId="1" applyNumberFormat="1" applyFont="1" applyFill="1" applyBorder="1" applyAlignment="1">
      <alignment horizontal="right" vertical="top"/>
    </xf>
    <xf numFmtId="167" fontId="27" fillId="0" borderId="1" xfId="1" applyNumberFormat="1" applyFont="1" applyFill="1" applyBorder="1" applyAlignment="1" applyProtection="1">
      <alignment horizontal="right"/>
      <protection locked="0"/>
    </xf>
    <xf numFmtId="165" fontId="27" fillId="0" borderId="1" xfId="0" applyNumberFormat="1" applyFont="1" applyBorder="1" applyAlignment="1">
      <alignment horizontal="right"/>
    </xf>
    <xf numFmtId="165" fontId="27" fillId="0" borderId="1" xfId="0" applyNumberFormat="1" applyFont="1" applyBorder="1" applyAlignment="1" applyProtection="1">
      <alignment horizontal="right"/>
      <protection locked="0"/>
    </xf>
    <xf numFmtId="2" fontId="27" fillId="0" borderId="1" xfId="1" applyNumberFormat="1" applyFont="1" applyFill="1" applyBorder="1" applyAlignment="1" applyProtection="1">
      <alignment horizontal="right"/>
    </xf>
    <xf numFmtId="1" fontId="27" fillId="0" borderId="1" xfId="0" applyNumberFormat="1" applyFont="1" applyBorder="1" applyAlignment="1" applyProtection="1">
      <alignment horizontal="right"/>
      <protection hidden="1"/>
    </xf>
    <xf numFmtId="43" fontId="27" fillId="0" borderId="1" xfId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Alignment="1" applyProtection="1">
      <alignment horizontal="right"/>
      <protection hidden="1"/>
    </xf>
    <xf numFmtId="43" fontId="27" fillId="0" borderId="1" xfId="0" applyNumberFormat="1" applyFont="1" applyBorder="1" applyAlignment="1" applyProtection="1">
      <alignment horizontal="right"/>
      <protection hidden="1"/>
    </xf>
    <xf numFmtId="167" fontId="27" fillId="0" borderId="1" xfId="1" applyNumberFormat="1" applyFont="1" applyFill="1" applyBorder="1" applyAlignment="1">
      <alignment horizontal="right"/>
    </xf>
    <xf numFmtId="0" fontId="24" fillId="0" borderId="1" xfId="0" applyFont="1" applyBorder="1"/>
    <xf numFmtId="167" fontId="24" fillId="0" borderId="1" xfId="1" applyNumberFormat="1" applyFont="1" applyFill="1" applyBorder="1" applyProtection="1">
      <protection locked="0"/>
    </xf>
    <xf numFmtId="1" fontId="27" fillId="0" borderId="1" xfId="1" applyNumberFormat="1" applyFont="1" applyFill="1" applyBorder="1" applyAlignment="1" applyProtection="1">
      <alignment horizontal="right"/>
      <protection hidden="1"/>
    </xf>
    <xf numFmtId="1" fontId="27" fillId="0" borderId="1" xfId="0" applyNumberFormat="1" applyFont="1" applyBorder="1" applyAlignment="1">
      <alignment horizontal="right" vertical="center"/>
    </xf>
    <xf numFmtId="1" fontId="27" fillId="0" borderId="1" xfId="0" applyNumberFormat="1" applyFont="1" applyBorder="1" applyAlignment="1" applyProtection="1">
      <alignment horizontal="right" vertical="center"/>
      <protection hidden="1"/>
    </xf>
    <xf numFmtId="167" fontId="27" fillId="0" borderId="1" xfId="1" applyNumberFormat="1" applyFont="1" applyFill="1" applyBorder="1"/>
    <xf numFmtId="0" fontId="27" fillId="0" borderId="1" xfId="0" applyFont="1" applyBorder="1" applyAlignment="1">
      <alignment horizontal="right"/>
    </xf>
    <xf numFmtId="2" fontId="28" fillId="0" borderId="1" xfId="1" applyNumberFormat="1" applyFont="1" applyFill="1" applyBorder="1" applyAlignment="1">
      <alignment horizontal="right"/>
    </xf>
    <xf numFmtId="43" fontId="28" fillId="0" borderId="1" xfId="1" applyFont="1" applyFill="1" applyBorder="1" applyAlignment="1">
      <alignment horizontal="right"/>
    </xf>
    <xf numFmtId="0" fontId="28" fillId="0" borderId="1" xfId="0" applyFont="1" applyBorder="1" applyAlignment="1">
      <alignment horizontal="right"/>
    </xf>
    <xf numFmtId="165" fontId="28" fillId="0" borderId="1" xfId="0" applyNumberFormat="1" applyFont="1" applyBorder="1" applyAlignment="1">
      <alignment horizontal="right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left" wrapText="1"/>
      <protection locked="0"/>
    </xf>
    <xf numFmtId="2" fontId="27" fillId="0" borderId="1" xfId="1" applyNumberFormat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Alignment="1" applyProtection="1">
      <alignment horizontal="right"/>
      <protection locked="0" hidden="1"/>
    </xf>
    <xf numFmtId="0" fontId="28" fillId="0" borderId="1" xfId="0" applyFont="1" applyBorder="1" applyAlignment="1" applyProtection="1">
      <alignment horizontal="left" wrapText="1"/>
      <protection locked="0"/>
    </xf>
    <xf numFmtId="167" fontId="28" fillId="0" borderId="1" xfId="1" applyNumberFormat="1" applyFont="1" applyFill="1" applyBorder="1" applyAlignment="1" applyProtection="1">
      <alignment horizontal="right"/>
      <protection locked="0"/>
    </xf>
    <xf numFmtId="0" fontId="27" fillId="0" borderId="1" xfId="0" applyFont="1" applyBorder="1" applyAlignment="1">
      <alignment horizontal="left" vertical="top" wrapText="1"/>
    </xf>
    <xf numFmtId="2" fontId="27" fillId="0" borderId="1" xfId="1" applyNumberFormat="1" applyFont="1" applyFill="1" applyBorder="1" applyAlignment="1">
      <alignment horizontal="right"/>
    </xf>
    <xf numFmtId="43" fontId="27" fillId="0" borderId="1" xfId="1" applyFont="1" applyFill="1" applyBorder="1" applyAlignment="1">
      <alignment horizontal="right"/>
    </xf>
    <xf numFmtId="0" fontId="27" fillId="0" borderId="1" xfId="0" applyFont="1" applyBorder="1" applyAlignment="1">
      <alignment horizontal="right" vertical="top"/>
    </xf>
    <xf numFmtId="165" fontId="28" fillId="0" borderId="1" xfId="0" applyNumberFormat="1" applyFont="1" applyBorder="1" applyAlignment="1" applyProtection="1">
      <alignment horizontal="right"/>
      <protection locked="0"/>
    </xf>
    <xf numFmtId="2" fontId="27" fillId="0" borderId="1" xfId="1" quotePrefix="1" applyNumberFormat="1" applyFont="1" applyFill="1" applyBorder="1" applyAlignment="1">
      <alignment horizontal="right"/>
    </xf>
    <xf numFmtId="0" fontId="27" fillId="0" borderId="1" xfId="0" quotePrefix="1" applyFont="1" applyBorder="1" applyAlignment="1">
      <alignment horizontal="right"/>
    </xf>
    <xf numFmtId="0" fontId="28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top"/>
    </xf>
    <xf numFmtId="2" fontId="34" fillId="0" borderId="1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vertical="top"/>
    </xf>
    <xf numFmtId="43" fontId="27" fillId="0" borderId="1" xfId="1" applyFont="1" applyFill="1" applyBorder="1" applyAlignment="1">
      <alignment vertical="top"/>
    </xf>
    <xf numFmtId="167" fontId="27" fillId="0" borderId="1" xfId="1" applyNumberFormat="1" applyFont="1" applyFill="1" applyBorder="1" applyAlignment="1">
      <alignment vertical="top"/>
    </xf>
    <xf numFmtId="167" fontId="31" fillId="0" borderId="1" xfId="1" applyNumberFormat="1" applyFont="1" applyFill="1" applyBorder="1" applyAlignment="1" applyProtection="1">
      <alignment vertical="top" wrapText="1"/>
      <protection locked="0"/>
    </xf>
    <xf numFmtId="167" fontId="27" fillId="0" borderId="1" xfId="1" applyNumberFormat="1" applyFont="1" applyFill="1" applyBorder="1" applyAlignment="1" applyProtection="1">
      <alignment horizontal="right" vertical="top"/>
      <protection locked="0"/>
    </xf>
    <xf numFmtId="167" fontId="31" fillId="0" borderId="1" xfId="1" applyNumberFormat="1" applyFont="1" applyFill="1" applyBorder="1" applyAlignment="1">
      <alignment vertical="top" wrapText="1"/>
    </xf>
    <xf numFmtId="43" fontId="27" fillId="0" borderId="1" xfId="1" applyFont="1" applyFill="1" applyBorder="1" applyAlignment="1">
      <alignment horizontal="right" vertical="top"/>
    </xf>
    <xf numFmtId="1" fontId="27" fillId="0" borderId="1" xfId="0" applyNumberFormat="1" applyFont="1" applyBorder="1" applyAlignment="1" applyProtection="1">
      <alignment horizontal="right" vertical="top"/>
      <protection hidden="1"/>
    </xf>
    <xf numFmtId="165" fontId="27" fillId="0" borderId="1" xfId="0" applyNumberFormat="1" applyFont="1" applyBorder="1" applyAlignment="1" applyProtection="1">
      <alignment horizontal="right" vertical="top"/>
      <protection locked="0"/>
    </xf>
    <xf numFmtId="167" fontId="28" fillId="0" borderId="1" xfId="1" applyNumberFormat="1" applyFont="1" applyFill="1" applyBorder="1" applyAlignment="1">
      <alignment horizontal="right" vertical="top"/>
    </xf>
    <xf numFmtId="2" fontId="28" fillId="0" borderId="1" xfId="0" applyNumberFormat="1" applyFont="1" applyBorder="1" applyAlignment="1">
      <alignment horizontal="right" vertical="top"/>
    </xf>
    <xf numFmtId="1" fontId="28" fillId="0" borderId="1" xfId="0" applyNumberFormat="1" applyFont="1" applyBorder="1" applyAlignment="1">
      <alignment horizontal="right" vertical="top"/>
    </xf>
    <xf numFmtId="167" fontId="24" fillId="0" borderId="27" xfId="1" applyNumberFormat="1" applyFont="1" applyFill="1" applyBorder="1" applyAlignment="1" applyProtection="1">
      <alignment horizontal="right" vertical="top"/>
      <protection locked="0"/>
    </xf>
    <xf numFmtId="166" fontId="27" fillId="0" borderId="1" xfId="0" applyNumberFormat="1" applyFont="1" applyBorder="1" applyAlignment="1" applyProtection="1">
      <alignment horizontal="right" vertical="top"/>
      <protection hidden="1"/>
    </xf>
    <xf numFmtId="166" fontId="27" fillId="0" borderId="1" xfId="0" applyNumberFormat="1" applyFont="1" applyBorder="1" applyAlignment="1">
      <alignment horizontal="right" vertical="top"/>
    </xf>
    <xf numFmtId="167" fontId="27" fillId="0" borderId="1" xfId="1" applyNumberFormat="1" applyFont="1" applyFill="1" applyBorder="1" applyAlignment="1" applyProtection="1">
      <alignment horizontal="right" vertical="top"/>
      <protection hidden="1"/>
    </xf>
    <xf numFmtId="0" fontId="28" fillId="0" borderId="1" xfId="0" applyFont="1" applyBorder="1" applyAlignment="1">
      <alignment vertical="top"/>
    </xf>
    <xf numFmtId="43" fontId="28" fillId="0" borderId="1" xfId="1" applyFont="1" applyFill="1" applyBorder="1" applyAlignment="1">
      <alignment horizontal="right" vertical="top"/>
    </xf>
    <xf numFmtId="166" fontId="28" fillId="0" borderId="1" xfId="0" applyNumberFormat="1" applyFont="1" applyBorder="1" applyAlignment="1">
      <alignment horizontal="right" vertical="top"/>
    </xf>
    <xf numFmtId="0" fontId="24" fillId="0" borderId="1" xfId="0" applyFont="1" applyBorder="1" applyAlignment="1">
      <alignment vertical="top"/>
    </xf>
    <xf numFmtId="165" fontId="27" fillId="0" borderId="1" xfId="0" applyNumberFormat="1" applyFont="1" applyBorder="1" applyAlignment="1">
      <alignment horizontal="right" vertical="top"/>
    </xf>
    <xf numFmtId="167" fontId="27" fillId="0" borderId="1" xfId="1" applyNumberFormat="1" applyFont="1" applyFill="1" applyBorder="1" applyAlignment="1">
      <alignment horizontal="right" vertical="top" wrapText="1"/>
    </xf>
    <xf numFmtId="0" fontId="27" fillId="0" borderId="1" xfId="0" applyFont="1" applyBorder="1" applyAlignment="1">
      <alignment horizontal="right" vertical="top" wrapText="1"/>
    </xf>
    <xf numFmtId="166" fontId="27" fillId="0" borderId="1" xfId="0" applyNumberFormat="1" applyFont="1" applyBorder="1" applyAlignment="1">
      <alignment horizontal="right" vertical="top" wrapText="1"/>
    </xf>
    <xf numFmtId="167" fontId="24" fillId="0" borderId="1" xfId="1" applyNumberFormat="1" applyFont="1" applyFill="1" applyBorder="1" applyAlignment="1">
      <alignment vertical="top"/>
    </xf>
    <xf numFmtId="167" fontId="31" fillId="0" borderId="1" xfId="1" applyNumberFormat="1" applyFont="1" applyFill="1" applyBorder="1" applyAlignment="1">
      <alignment horizontal="right" vertical="top" wrapText="1"/>
    </xf>
    <xf numFmtId="167" fontId="24" fillId="0" borderId="1" xfId="1" applyNumberFormat="1" applyFont="1" applyFill="1" applyBorder="1" applyAlignment="1">
      <alignment horizontal="right" vertical="top"/>
    </xf>
    <xf numFmtId="164" fontId="27" fillId="0" borderId="1" xfId="0" applyNumberFormat="1" applyFont="1" applyBorder="1" applyAlignment="1">
      <alignment horizontal="right" vertical="top"/>
    </xf>
    <xf numFmtId="43" fontId="27" fillId="0" borderId="1" xfId="1" applyFont="1" applyFill="1" applyBorder="1" applyAlignment="1">
      <alignment horizontal="right" vertical="top" wrapText="1"/>
    </xf>
    <xf numFmtId="0" fontId="41" fillId="0" borderId="1" xfId="0" applyFont="1" applyBorder="1" applyAlignment="1">
      <alignment horizontal="center" vertical="top" wrapText="1"/>
    </xf>
    <xf numFmtId="0" fontId="40" fillId="0" borderId="5" xfId="0" applyFont="1" applyBorder="1" applyAlignment="1">
      <alignment horizontal="left" vertical="top" wrapText="1"/>
    </xf>
    <xf numFmtId="0" fontId="40" fillId="0" borderId="1" xfId="0" applyFont="1" applyBorder="1" applyAlignment="1">
      <alignment wrapText="1"/>
    </xf>
    <xf numFmtId="165" fontId="40" fillId="0" borderId="1" xfId="0" applyNumberFormat="1" applyFont="1" applyBorder="1" applyAlignment="1">
      <alignment wrapText="1"/>
    </xf>
    <xf numFmtId="165" fontId="38" fillId="0" borderId="6" xfId="0" applyNumberFormat="1" applyFont="1" applyBorder="1" applyAlignment="1">
      <alignment wrapText="1"/>
    </xf>
    <xf numFmtId="0" fontId="38" fillId="0" borderId="7" xfId="0" applyFont="1" applyBorder="1" applyAlignment="1">
      <alignment horizontal="left" vertical="top" wrapText="1"/>
    </xf>
    <xf numFmtId="0" fontId="38" fillId="0" borderId="8" xfId="0" applyFont="1" applyBorder="1" applyAlignment="1">
      <alignment wrapText="1"/>
    </xf>
    <xf numFmtId="165" fontId="38" fillId="0" borderId="8" xfId="0" applyNumberFormat="1" applyFont="1" applyBorder="1" applyAlignment="1">
      <alignment wrapText="1"/>
    </xf>
    <xf numFmtId="165" fontId="38" fillId="0" borderId="9" xfId="0" applyNumberFormat="1" applyFont="1" applyBorder="1" applyAlignment="1">
      <alignment wrapText="1"/>
    </xf>
    <xf numFmtId="167" fontId="33" fillId="0" borderId="1" xfId="1" applyNumberFormat="1" applyFont="1" applyFill="1" applyBorder="1" applyAlignment="1">
      <alignment horizontal="center" vertical="center" wrapText="1"/>
    </xf>
    <xf numFmtId="167" fontId="24" fillId="0" borderId="1" xfId="1" applyNumberFormat="1" applyFont="1" applyFill="1" applyBorder="1" applyAlignment="1">
      <alignment horizontal="center" wrapText="1"/>
    </xf>
    <xf numFmtId="167" fontId="24" fillId="0" borderId="1" xfId="1" applyNumberFormat="1" applyFont="1" applyFill="1" applyBorder="1" applyAlignment="1">
      <alignment wrapText="1"/>
    </xf>
    <xf numFmtId="167" fontId="24" fillId="0" borderId="1" xfId="1" applyNumberFormat="1" applyFont="1" applyFill="1" applyBorder="1" applyAlignment="1" applyProtection="1">
      <alignment wrapText="1"/>
      <protection hidden="1"/>
    </xf>
    <xf numFmtId="167" fontId="24" fillId="0" borderId="1" xfId="1" applyNumberFormat="1" applyFont="1" applyFill="1" applyBorder="1" applyAlignment="1" applyProtection="1">
      <alignment horizontal="right" wrapText="1"/>
      <protection hidden="1"/>
    </xf>
    <xf numFmtId="43" fontId="24" fillId="0" borderId="1" xfId="1" applyFont="1" applyFill="1" applyBorder="1" applyAlignment="1" applyProtection="1">
      <alignment horizontal="right" wrapText="1"/>
      <protection hidden="1"/>
    </xf>
    <xf numFmtId="167" fontId="24" fillId="0" borderId="1" xfId="1" quotePrefix="1" applyNumberFormat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Protection="1">
      <protection hidden="1"/>
    </xf>
    <xf numFmtId="167" fontId="34" fillId="0" borderId="1" xfId="1" applyNumberFormat="1" applyFont="1" applyFill="1" applyBorder="1" applyAlignment="1">
      <alignment horizontal="left" wrapText="1"/>
    </xf>
    <xf numFmtId="167" fontId="34" fillId="0" borderId="1" xfId="1" applyNumberFormat="1" applyFont="1" applyFill="1" applyBorder="1" applyAlignment="1">
      <alignment wrapText="1"/>
    </xf>
    <xf numFmtId="167" fontId="34" fillId="0" borderId="1" xfId="1" applyNumberFormat="1" applyFont="1" applyFill="1" applyBorder="1" applyAlignment="1">
      <alignment horizontal="right" wrapText="1"/>
    </xf>
    <xf numFmtId="167" fontId="34" fillId="0" borderId="1" xfId="1" applyNumberFormat="1" applyFont="1" applyFill="1" applyBorder="1" applyAlignment="1" applyProtection="1">
      <alignment wrapText="1"/>
      <protection hidden="1"/>
    </xf>
    <xf numFmtId="167" fontId="34" fillId="0" borderId="1" xfId="1" applyNumberFormat="1" applyFont="1" applyFill="1" applyBorder="1" applyAlignment="1" applyProtection="1">
      <alignment horizontal="right" wrapText="1"/>
      <protection hidden="1"/>
    </xf>
    <xf numFmtId="43" fontId="34" fillId="0" borderId="1" xfId="1" applyFont="1" applyFill="1" applyBorder="1" applyAlignment="1" applyProtection="1">
      <alignment horizontal="right" wrapText="1"/>
      <protection hidden="1"/>
    </xf>
    <xf numFmtId="0" fontId="4" fillId="0" borderId="0" xfId="0" applyFont="1" applyAlignment="1">
      <alignment wrapText="1"/>
    </xf>
    <xf numFmtId="167" fontId="33" fillId="0" borderId="1" xfId="1" applyNumberFormat="1" applyFont="1" applyFill="1" applyBorder="1" applyAlignment="1">
      <alignment horizontal="center" vertical="center" wrapText="1"/>
    </xf>
    <xf numFmtId="167" fontId="33" fillId="0" borderId="1" xfId="1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" vertical="top" wrapText="1"/>
    </xf>
    <xf numFmtId="2" fontId="28" fillId="0" borderId="1" xfId="0" applyNumberFormat="1" applyFont="1" applyBorder="1" applyAlignment="1">
      <alignment horizontal="center" vertical="top" wrapText="1"/>
    </xf>
    <xf numFmtId="168" fontId="28" fillId="0" borderId="1" xfId="0" applyNumberFormat="1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26" xfId="0" applyFont="1" applyBorder="1" applyAlignment="1">
      <alignment horizontal="left" vertical="top"/>
    </xf>
    <xf numFmtId="0" fontId="28" fillId="0" borderId="24" xfId="0" applyFont="1" applyBorder="1" applyAlignment="1">
      <alignment horizontal="left" vertical="top"/>
    </xf>
    <xf numFmtId="0" fontId="28" fillId="0" borderId="21" xfId="0" applyFont="1" applyBorder="1" applyAlignment="1">
      <alignment horizontal="left" vertical="top"/>
    </xf>
    <xf numFmtId="0" fontId="28" fillId="0" borderId="22" xfId="0" applyFont="1" applyBorder="1" applyAlignment="1">
      <alignment horizontal="left" vertical="top"/>
    </xf>
    <xf numFmtId="0" fontId="28" fillId="0" borderId="23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 wrapText="1"/>
    </xf>
    <xf numFmtId="43" fontId="28" fillId="0" borderId="1" xfId="1" applyFont="1" applyFill="1" applyBorder="1" applyAlignment="1">
      <alignment horizontal="center" vertical="top" wrapText="1"/>
    </xf>
    <xf numFmtId="0" fontId="32" fillId="0" borderId="0" xfId="0" applyFont="1" applyAlignment="1">
      <alignment horizontal="left" vertical="top" wrapText="1"/>
    </xf>
    <xf numFmtId="0" fontId="34" fillId="0" borderId="1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8" fillId="0" borderId="10" xfId="0" applyFont="1" applyBorder="1" applyAlignment="1">
      <alignment horizontal="left" vertical="top"/>
    </xf>
    <xf numFmtId="0" fontId="28" fillId="0" borderId="10" xfId="0" applyFont="1" applyBorder="1" applyAlignment="1">
      <alignment vertical="top"/>
    </xf>
    <xf numFmtId="0" fontId="28" fillId="0" borderId="0" xfId="0" applyFont="1" applyAlignment="1">
      <alignment vertical="top"/>
    </xf>
    <xf numFmtId="0" fontId="28" fillId="0" borderId="25" xfId="0" applyFont="1" applyBorder="1" applyAlignment="1">
      <alignment vertical="top"/>
    </xf>
    <xf numFmtId="0" fontId="28" fillId="0" borderId="24" xfId="0" applyFont="1" applyBorder="1" applyAlignment="1">
      <alignment vertical="top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 indent="1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0" borderId="21" xfId="0" applyNumberFormat="1" applyFont="1" applyBorder="1" applyAlignment="1" applyProtection="1">
      <alignment horizontal="center" vertical="center"/>
      <protection locked="0"/>
    </xf>
    <xf numFmtId="2" fontId="24" fillId="0" borderId="22" xfId="0" applyNumberFormat="1" applyFont="1" applyBorder="1" applyAlignment="1" applyProtection="1">
      <alignment horizontal="center" vertical="center"/>
      <protection locked="0"/>
    </xf>
    <xf numFmtId="2" fontId="24" fillId="0" borderId="23" xfId="0" applyNumberFormat="1" applyFont="1" applyBorder="1" applyAlignment="1" applyProtection="1">
      <alignment horizontal="center" vertical="center"/>
      <protection locked="0"/>
    </xf>
    <xf numFmtId="0" fontId="36" fillId="0" borderId="2" xfId="0" applyFont="1" applyBorder="1" applyAlignment="1">
      <alignment horizontal="center" wrapText="1"/>
    </xf>
    <xf numFmtId="0" fontId="36" fillId="0" borderId="3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  <xf numFmtId="0" fontId="38" fillId="0" borderId="5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41" fillId="0" borderId="5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168" fontId="41" fillId="0" borderId="1" xfId="0" applyNumberFormat="1" applyFont="1" applyBorder="1" applyAlignment="1">
      <alignment horizontal="center" vertical="top" wrapText="1"/>
    </xf>
    <xf numFmtId="0" fontId="41" fillId="0" borderId="6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 wrapText="1"/>
    </xf>
    <xf numFmtId="0" fontId="4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34" fillId="0" borderId="21" xfId="0" applyFont="1" applyFill="1" applyBorder="1" applyAlignment="1">
      <alignment horizontal="left" vertical="center" wrapText="1"/>
    </xf>
    <xf numFmtId="0" fontId="34" fillId="0" borderId="22" xfId="0" applyFont="1" applyFill="1" applyBorder="1" applyAlignment="1">
      <alignment horizontal="left" vertical="center" wrapText="1"/>
    </xf>
    <xf numFmtId="0" fontId="34" fillId="0" borderId="23" xfId="0" applyFont="1" applyFill="1" applyBorder="1" applyAlignment="1">
      <alignment horizontal="left" vertical="center" wrapText="1"/>
    </xf>
    <xf numFmtId="0" fontId="35" fillId="0" borderId="21" xfId="0" applyFont="1" applyFill="1" applyBorder="1" applyAlignment="1">
      <alignment vertical="top"/>
    </xf>
    <xf numFmtId="0" fontId="35" fillId="0" borderId="22" xfId="0" applyFont="1" applyFill="1" applyBorder="1" applyAlignment="1">
      <alignment vertical="top"/>
    </xf>
    <xf numFmtId="0" fontId="35" fillId="0" borderId="23" xfId="0" applyFont="1" applyFill="1" applyBorder="1" applyAlignment="1">
      <alignment vertical="top"/>
    </xf>
    <xf numFmtId="0" fontId="5" fillId="0" borderId="0" xfId="0" applyFont="1" applyBorder="1" applyAlignment="1">
      <alignment wrapText="1"/>
    </xf>
    <xf numFmtId="0" fontId="0" fillId="0" borderId="0" xfId="0" applyBorder="1"/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1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6000000}"/>
    <cellStyle name="Normal 3" xfId="42" xr:uid="{00000000-0005-0000-0000-000027000000}"/>
    <cellStyle name="Note 2" xfId="43" xr:uid="{00000000-0005-0000-0000-000028000000}"/>
    <cellStyle name="Output" xfId="10" builtinId="21" customBuiltin="1"/>
    <cellStyle name="Title 2" xfId="44" xr:uid="{00000000-0005-0000-0000-00002A000000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59530</xdr:rowOff>
    </xdr:from>
    <xdr:to>
      <xdr:col>0</xdr:col>
      <xdr:colOff>0</xdr:colOff>
      <xdr:row>58</xdr:row>
      <xdr:rowOff>391583</xdr:rowOff>
    </xdr:to>
    <xdr:sp macro="[1]!opentextblock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7582179" y="11156155"/>
          <a:ext cx="1071564" cy="132028"/>
        </a:xfrm>
        <a:prstGeom prst="roundRect">
          <a:avLst/>
        </a:prstGeom>
        <a:solidFill>
          <a:srgbClr val="9B2D2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/>
            <a:t>Add Notes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CT\MATHUR\Secretarial\Stock%20Exchanges\2018-19\Q4_JanFebMar\January\Shareholding%20Pattern\Shareholding%20Patter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GeneralInfo"/>
      <sheetName val="Declaration"/>
      <sheetName val="Summary"/>
      <sheetName val="Taxonomy"/>
      <sheetName val="Shareholding Pattern"/>
      <sheetName val="IndHUF"/>
      <sheetName val="CGAndSG"/>
      <sheetName val="Banks"/>
      <sheetName val="OtherIND"/>
      <sheetName val="Individuals"/>
      <sheetName val="Government"/>
      <sheetName val="Institutions"/>
      <sheetName val="FPIPromoter"/>
      <sheetName val="OtherForeign"/>
      <sheetName val="MutuaFund"/>
      <sheetName val="VentureCap"/>
      <sheetName val="AIF"/>
      <sheetName val="FVC"/>
      <sheetName val="FPI_Insti"/>
      <sheetName val="Bank_Insti"/>
      <sheetName val="Insurance"/>
      <sheetName val="Pension"/>
      <sheetName val="Other_Insti"/>
      <sheetName val="CG&amp;SG&amp;PI"/>
      <sheetName val="Indivisual(aI)"/>
      <sheetName val="Indivisual(aII)"/>
      <sheetName val="NBFC"/>
      <sheetName val="EmpTrust"/>
      <sheetName val="OD"/>
      <sheetName val="Other_NonInsti"/>
      <sheetName val="DRHolder"/>
      <sheetName val="EBT"/>
      <sheetName val="Unclaimed_Prom"/>
      <sheetName val="TextBlock"/>
      <sheetName val="PAC_Public"/>
      <sheetName val="Unclaimed_Public"/>
    </sheetNames>
    <definedNames>
      <definedName name="opentextbl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topLeftCell="A3" zoomScaleNormal="100" zoomScaleSheetLayoutView="100" workbookViewId="0">
      <selection activeCell="C15" sqref="C15"/>
    </sheetView>
  </sheetViews>
  <sheetFormatPr defaultRowHeight="14.5" x14ac:dyDescent="0.35"/>
  <cols>
    <col min="1" max="1" width="1.81640625" bestFit="1" customWidth="1"/>
    <col min="2" max="2" width="5.26953125" bestFit="1" customWidth="1"/>
    <col min="3" max="3" width="67.6328125" customWidth="1"/>
    <col min="4" max="4" width="15.26953125" customWidth="1"/>
    <col min="5" max="5" width="12.1796875" customWidth="1"/>
  </cols>
  <sheetData>
    <row r="1" spans="1:5" x14ac:dyDescent="0.35">
      <c r="A1" s="139" t="s">
        <v>228</v>
      </c>
      <c r="B1" s="139"/>
      <c r="C1" s="139"/>
      <c r="D1" s="139"/>
      <c r="E1" s="139"/>
    </row>
    <row r="2" spans="1:5" x14ac:dyDescent="0.35">
      <c r="A2" s="10">
        <v>1</v>
      </c>
      <c r="B2" s="139" t="s">
        <v>33</v>
      </c>
      <c r="C2" s="139"/>
      <c r="D2" s="139"/>
      <c r="E2" s="139"/>
    </row>
    <row r="3" spans="1:5" x14ac:dyDescent="0.35">
      <c r="A3" s="10">
        <v>2</v>
      </c>
      <c r="B3" s="139" t="s">
        <v>34</v>
      </c>
      <c r="C3" s="139"/>
      <c r="D3" s="139"/>
      <c r="E3" s="139"/>
    </row>
    <row r="4" spans="1:5" x14ac:dyDescent="0.35">
      <c r="A4" s="10">
        <v>3</v>
      </c>
      <c r="B4" s="139" t="s">
        <v>35</v>
      </c>
      <c r="C4" s="139"/>
      <c r="D4" s="139"/>
      <c r="E4" s="139"/>
    </row>
    <row r="5" spans="1:5" x14ac:dyDescent="0.35">
      <c r="A5" s="10"/>
      <c r="B5" s="139" t="s">
        <v>229</v>
      </c>
      <c r="C5" s="139"/>
      <c r="D5" s="139"/>
      <c r="E5" s="139"/>
    </row>
    <row r="6" spans="1:5" ht="15" thickBot="1" x14ac:dyDescent="0.4">
      <c r="A6" s="10">
        <v>4</v>
      </c>
      <c r="B6" s="139" t="s">
        <v>36</v>
      </c>
      <c r="C6" s="139"/>
      <c r="D6" s="139"/>
      <c r="E6" s="139"/>
    </row>
    <row r="7" spans="1:5" x14ac:dyDescent="0.35">
      <c r="A7" s="11"/>
      <c r="B7" s="23" t="s">
        <v>37</v>
      </c>
      <c r="C7" s="24" t="s">
        <v>38</v>
      </c>
      <c r="D7" s="24" t="s">
        <v>39</v>
      </c>
      <c r="E7" s="25" t="s">
        <v>40</v>
      </c>
    </row>
    <row r="8" spans="1:5" x14ac:dyDescent="0.35">
      <c r="A8" s="11"/>
      <c r="B8" s="26">
        <v>1</v>
      </c>
      <c r="C8" s="27" t="s">
        <v>41</v>
      </c>
      <c r="D8" s="27"/>
      <c r="E8" s="28" t="s">
        <v>40</v>
      </c>
    </row>
    <row r="9" spans="1:5" x14ac:dyDescent="0.35">
      <c r="A9" s="11"/>
      <c r="B9" s="26">
        <v>2</v>
      </c>
      <c r="C9" s="27" t="s">
        <v>42</v>
      </c>
      <c r="D9" s="27"/>
      <c r="E9" s="28" t="s">
        <v>40</v>
      </c>
    </row>
    <row r="10" spans="1:5" x14ac:dyDescent="0.35">
      <c r="A10" s="11"/>
      <c r="B10" s="26">
        <v>3</v>
      </c>
      <c r="C10" s="27" t="s">
        <v>43</v>
      </c>
      <c r="D10" s="27"/>
      <c r="E10" s="28" t="s">
        <v>40</v>
      </c>
    </row>
    <row r="11" spans="1:5" x14ac:dyDescent="0.35">
      <c r="A11" s="11"/>
      <c r="B11" s="26">
        <f>B10+1</f>
        <v>4</v>
      </c>
      <c r="C11" s="185" t="s">
        <v>230</v>
      </c>
      <c r="D11" s="27"/>
      <c r="E11" s="28" t="s">
        <v>40</v>
      </c>
    </row>
    <row r="12" spans="1:5" x14ac:dyDescent="0.35">
      <c r="A12" s="11"/>
      <c r="B12" s="26">
        <f t="shared" ref="B12:B18" si="0">B11+1</f>
        <v>5</v>
      </c>
      <c r="C12" s="185" t="s">
        <v>44</v>
      </c>
      <c r="D12" s="27"/>
      <c r="E12" s="28" t="s">
        <v>40</v>
      </c>
    </row>
    <row r="13" spans="1:5" x14ac:dyDescent="0.35">
      <c r="A13" s="11"/>
      <c r="B13" s="26">
        <f t="shared" si="0"/>
        <v>6</v>
      </c>
      <c r="C13" s="185" t="s">
        <v>45</v>
      </c>
      <c r="D13" s="27"/>
      <c r="E13" s="28" t="s">
        <v>40</v>
      </c>
    </row>
    <row r="14" spans="1:5" x14ac:dyDescent="0.35">
      <c r="A14" s="10"/>
      <c r="B14" s="26">
        <f t="shared" si="0"/>
        <v>7</v>
      </c>
      <c r="C14" s="185" t="s">
        <v>231</v>
      </c>
      <c r="D14" s="27" t="s">
        <v>39</v>
      </c>
      <c r="E14" s="28"/>
    </row>
    <row r="15" spans="1:5" x14ac:dyDescent="0.35">
      <c r="A15" s="10"/>
      <c r="B15" s="26">
        <f t="shared" si="0"/>
        <v>8</v>
      </c>
      <c r="C15" s="185" t="s">
        <v>232</v>
      </c>
      <c r="D15" s="27"/>
      <c r="E15" s="28" t="s">
        <v>40</v>
      </c>
    </row>
    <row r="16" spans="1:5" x14ac:dyDescent="0.35">
      <c r="A16" s="10"/>
      <c r="B16" s="26">
        <f t="shared" si="0"/>
        <v>9</v>
      </c>
      <c r="C16" s="185" t="s">
        <v>233</v>
      </c>
      <c r="D16" s="27"/>
      <c r="E16" s="28" t="s">
        <v>40</v>
      </c>
    </row>
    <row r="17" spans="1:6" x14ac:dyDescent="0.35">
      <c r="A17" s="1"/>
      <c r="B17" s="26">
        <f t="shared" si="0"/>
        <v>10</v>
      </c>
      <c r="C17" s="27" t="s">
        <v>46</v>
      </c>
      <c r="D17" s="27"/>
      <c r="E17" s="28" t="s">
        <v>40</v>
      </c>
    </row>
    <row r="18" spans="1:6" ht="15" thickBot="1" x14ac:dyDescent="0.4">
      <c r="A18" s="192"/>
      <c r="B18" s="194">
        <f t="shared" si="0"/>
        <v>11</v>
      </c>
      <c r="C18" s="195" t="s">
        <v>128</v>
      </c>
      <c r="D18" s="195"/>
      <c r="E18" s="196" t="s">
        <v>40</v>
      </c>
      <c r="F18" s="193"/>
    </row>
    <row r="19" spans="1:6" x14ac:dyDescent="0.35">
      <c r="B19" s="193"/>
      <c r="C19" s="193"/>
      <c r="D19" s="193"/>
      <c r="E19" s="193"/>
    </row>
  </sheetData>
  <sheetProtection formatCells="0" formatColumns="0" formatRows="0" insertColumns="0" insertRows="0" insertHyperlinks="0" deleteColumns="0" deleteRows="0" sort="0" autoFilter="0" pivotTables="0"/>
  <mergeCells count="6">
    <mergeCell ref="B6:E6"/>
    <mergeCell ref="A1:E1"/>
    <mergeCell ref="B2:E2"/>
    <mergeCell ref="B3:E3"/>
    <mergeCell ref="B4:E4"/>
    <mergeCell ref="B5:E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"/>
  <sheetViews>
    <sheetView zoomScaleNormal="100" workbookViewId="0">
      <pane ySplit="7" topLeftCell="A8" activePane="bottomLeft" state="frozen"/>
      <selection activeCell="B5" sqref="B5:E5"/>
      <selection pane="bottomLeft" activeCell="A8" sqref="A8"/>
    </sheetView>
  </sheetViews>
  <sheetFormatPr defaultColWidth="9.1796875" defaultRowHeight="14.5" x14ac:dyDescent="0.35"/>
  <cols>
    <col min="1" max="1" width="7.26953125" style="2" bestFit="1" customWidth="1"/>
    <col min="2" max="2" width="27" style="2" bestFit="1" customWidth="1"/>
    <col min="3" max="3" width="10" style="2" bestFit="1" customWidth="1"/>
    <col min="4" max="4" width="13.7265625" style="2" bestFit="1" customWidth="1"/>
    <col min="5" max="5" width="13.453125" style="2" bestFit="1" customWidth="1"/>
    <col min="6" max="6" width="10.1796875" style="2" bestFit="1" customWidth="1"/>
    <col min="7" max="7" width="12.7265625" style="2" bestFit="1" customWidth="1"/>
    <col min="8" max="8" width="12.7265625" style="2" customWidth="1"/>
    <col min="9" max="9" width="12.54296875" style="2" bestFit="1" customWidth="1"/>
    <col min="10" max="10" width="6.7265625" style="2" customWidth="1"/>
    <col min="11" max="11" width="12.54296875" style="2" bestFit="1" customWidth="1"/>
    <col min="12" max="12" width="8.54296875" style="2" customWidth="1"/>
    <col min="13" max="13" width="10.1796875" style="2" bestFit="1" customWidth="1"/>
    <col min="14" max="14" width="9.26953125" style="2" customWidth="1"/>
    <col min="15" max="15" width="11.7265625" style="2" bestFit="1" customWidth="1"/>
    <col min="16" max="16" width="12.7265625" style="2" bestFit="1" customWidth="1"/>
    <col min="17" max="17" width="3.54296875" style="2" bestFit="1" customWidth="1"/>
    <col min="18" max="18" width="9.1796875" style="2" bestFit="1" customWidth="1"/>
    <col min="19" max="19" width="11.54296875" style="2" bestFit="1" customWidth="1"/>
    <col min="20" max="20" width="10.54296875" style="2" bestFit="1" customWidth="1"/>
    <col min="21" max="21" width="12.81640625" style="2" bestFit="1" customWidth="1"/>
    <col min="22" max="16384" width="9.1796875" style="2"/>
  </cols>
  <sheetData>
    <row r="1" spans="1:21" ht="15" customHeight="1" x14ac:dyDescent="0.35">
      <c r="A1" s="186" t="s">
        <v>227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8"/>
    </row>
    <row r="2" spans="1:21" s="7" customFormat="1" x14ac:dyDescent="0.35">
      <c r="A2" s="189" t="s">
        <v>185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1"/>
    </row>
    <row r="3" spans="1:21" s="7" customFormat="1" x14ac:dyDescent="0.35">
      <c r="A3" s="189" t="s">
        <v>229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1"/>
    </row>
    <row r="4" spans="1:21" s="12" customFormat="1" x14ac:dyDescent="0.35">
      <c r="A4" s="189" t="s">
        <v>48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1"/>
    </row>
    <row r="5" spans="1:21" s="21" customFormat="1" ht="10.5" x14ac:dyDescent="0.25">
      <c r="A5" s="140" t="s">
        <v>0</v>
      </c>
      <c r="B5" s="140" t="s">
        <v>226</v>
      </c>
      <c r="C5" s="140" t="s">
        <v>1</v>
      </c>
      <c r="D5" s="140" t="s">
        <v>2</v>
      </c>
      <c r="E5" s="140" t="s">
        <v>3</v>
      </c>
      <c r="F5" s="140" t="s">
        <v>4</v>
      </c>
      <c r="G5" s="140" t="s">
        <v>5</v>
      </c>
      <c r="H5" s="140" t="s">
        <v>6</v>
      </c>
      <c r="I5" s="141" t="s">
        <v>7</v>
      </c>
      <c r="J5" s="141"/>
      <c r="K5" s="141"/>
      <c r="L5" s="141"/>
      <c r="M5" s="140" t="s">
        <v>8</v>
      </c>
      <c r="N5" s="140" t="s">
        <v>9</v>
      </c>
      <c r="O5" s="140" t="s">
        <v>10</v>
      </c>
      <c r="P5" s="140" t="s">
        <v>11</v>
      </c>
      <c r="Q5" s="140" t="s">
        <v>12</v>
      </c>
      <c r="R5" s="140"/>
      <c r="S5" s="140" t="s">
        <v>13</v>
      </c>
      <c r="T5" s="140"/>
      <c r="U5" s="140" t="s">
        <v>14</v>
      </c>
    </row>
    <row r="6" spans="1:21" s="21" customFormat="1" ht="21" customHeight="1" x14ac:dyDescent="0.25">
      <c r="A6" s="140"/>
      <c r="B6" s="140"/>
      <c r="C6" s="140"/>
      <c r="D6" s="140"/>
      <c r="E6" s="140"/>
      <c r="F6" s="140"/>
      <c r="G6" s="140"/>
      <c r="H6" s="140"/>
      <c r="I6" s="140" t="s">
        <v>15</v>
      </c>
      <c r="J6" s="140"/>
      <c r="K6" s="140"/>
      <c r="L6" s="140" t="s">
        <v>16</v>
      </c>
      <c r="M6" s="140"/>
      <c r="N6" s="140"/>
      <c r="O6" s="140"/>
      <c r="P6" s="140"/>
      <c r="Q6" s="140"/>
      <c r="R6" s="140"/>
      <c r="S6" s="140"/>
      <c r="T6" s="140"/>
      <c r="U6" s="140"/>
    </row>
    <row r="7" spans="1:21" s="21" customFormat="1" ht="58.5" customHeight="1" x14ac:dyDescent="0.25">
      <c r="A7" s="140"/>
      <c r="B7" s="140"/>
      <c r="C7" s="140"/>
      <c r="D7" s="140"/>
      <c r="E7" s="140"/>
      <c r="F7" s="140"/>
      <c r="G7" s="140"/>
      <c r="H7" s="140"/>
      <c r="I7" s="125" t="s">
        <v>17</v>
      </c>
      <c r="J7" s="125" t="s">
        <v>18</v>
      </c>
      <c r="K7" s="125" t="s">
        <v>19</v>
      </c>
      <c r="L7" s="140"/>
      <c r="M7" s="140"/>
      <c r="N7" s="140"/>
      <c r="O7" s="140"/>
      <c r="P7" s="140"/>
      <c r="Q7" s="125" t="s">
        <v>20</v>
      </c>
      <c r="R7" s="125" t="s">
        <v>21</v>
      </c>
      <c r="S7" s="125" t="s">
        <v>20</v>
      </c>
      <c r="T7" s="125" t="s">
        <v>21</v>
      </c>
      <c r="U7" s="140"/>
    </row>
    <row r="8" spans="1:21" x14ac:dyDescent="0.35">
      <c r="A8" s="126" t="s">
        <v>22</v>
      </c>
      <c r="B8" s="127" t="s">
        <v>23</v>
      </c>
      <c r="C8" s="128">
        <f>'Table II'!C71</f>
        <v>46</v>
      </c>
      <c r="D8" s="128">
        <f>'Table II'!D71</f>
        <v>131496545</v>
      </c>
      <c r="E8" s="128">
        <f>'Table II'!E71</f>
        <v>0</v>
      </c>
      <c r="F8" s="128">
        <f>'Table II'!F71</f>
        <v>0</v>
      </c>
      <c r="G8" s="129">
        <f>'Table II'!G71</f>
        <v>131496545</v>
      </c>
      <c r="H8" s="130">
        <f>'Table II'!H71</f>
        <v>54.09373318514784</v>
      </c>
      <c r="I8" s="129">
        <f>'Table II'!I71</f>
        <v>131496545</v>
      </c>
      <c r="J8" s="129">
        <f>'Table II'!J71</f>
        <v>0</v>
      </c>
      <c r="K8" s="129">
        <f>'Table II'!K71</f>
        <v>131496545</v>
      </c>
      <c r="L8" s="130">
        <f>'Table II'!L71</f>
        <v>54.093785151471366</v>
      </c>
      <c r="M8" s="129">
        <f>'Table II'!M71</f>
        <v>0</v>
      </c>
      <c r="N8" s="129" t="s">
        <v>24</v>
      </c>
      <c r="O8" s="129">
        <f>'Table II'!M71</f>
        <v>0</v>
      </c>
      <c r="P8" s="130">
        <f>'Table II'!N71</f>
        <v>54.093785151471366</v>
      </c>
      <c r="Q8" s="129">
        <f>'Table II'!O71</f>
        <v>0</v>
      </c>
      <c r="R8" s="129">
        <f>'Table II'!P71</f>
        <v>0</v>
      </c>
      <c r="S8" s="131">
        <f>'Table II'!Q71</f>
        <v>4600000</v>
      </c>
      <c r="T8" s="130">
        <f>'Table II'!R71</f>
        <v>3.4981907699552108</v>
      </c>
      <c r="U8" s="129">
        <f>'Table II'!S71</f>
        <v>131496171</v>
      </c>
    </row>
    <row r="9" spans="1:21" x14ac:dyDescent="0.35">
      <c r="A9" s="126" t="s">
        <v>25</v>
      </c>
      <c r="B9" s="127" t="s">
        <v>26</v>
      </c>
      <c r="C9" s="132">
        <f>'Table III'!C63</f>
        <v>63565</v>
      </c>
      <c r="D9" s="128">
        <f>'Table III'!D63</f>
        <v>111593386</v>
      </c>
      <c r="E9" s="128">
        <f>'Table III'!E63</f>
        <v>0</v>
      </c>
      <c r="F9" s="128">
        <f>'Table III'!F63</f>
        <v>0</v>
      </c>
      <c r="G9" s="129">
        <f>'Table III'!G63</f>
        <v>111593386</v>
      </c>
      <c r="H9" s="130">
        <f>'Table III'!H63</f>
        <v>45.90621484852862</v>
      </c>
      <c r="I9" s="129">
        <f>'Table III'!I63</f>
        <v>111593386</v>
      </c>
      <c r="J9" s="129">
        <f>'Table III'!J63</f>
        <v>0</v>
      </c>
      <c r="K9" s="129">
        <f>'Table III'!K63</f>
        <v>111593386</v>
      </c>
      <c r="L9" s="130">
        <f>'Table III'!L63</f>
        <v>45.90621484852862</v>
      </c>
      <c r="M9" s="129">
        <f>'Table III'!M63</f>
        <v>0</v>
      </c>
      <c r="N9" s="129" t="s">
        <v>24</v>
      </c>
      <c r="O9" s="129">
        <f>'Table III'!M63</f>
        <v>0</v>
      </c>
      <c r="P9" s="130">
        <f>'Table III'!N63</f>
        <v>45.90621484852862</v>
      </c>
      <c r="Q9" s="129">
        <f>'Table III'!O63</f>
        <v>0</v>
      </c>
      <c r="R9" s="129">
        <f>'Table III'!P63</f>
        <v>0</v>
      </c>
      <c r="S9" s="129">
        <f>'Table III'!Q63</f>
        <v>0</v>
      </c>
      <c r="T9" s="130">
        <f>'Table III'!R63</f>
        <v>0</v>
      </c>
      <c r="U9" s="129">
        <f>'Table III'!S63</f>
        <v>109161206</v>
      </c>
    </row>
    <row r="10" spans="1:21" x14ac:dyDescent="0.35">
      <c r="A10" s="126" t="s">
        <v>27</v>
      </c>
      <c r="B10" s="127" t="s">
        <v>28</v>
      </c>
      <c r="C10" s="128">
        <f>'Table IV'!D10</f>
        <v>0</v>
      </c>
      <c r="D10" s="128">
        <f>'Table IV'!E10</f>
        <v>0</v>
      </c>
      <c r="E10" s="128">
        <f>'Table IV'!F10</f>
        <v>0</v>
      </c>
      <c r="F10" s="128">
        <f>'Table IV'!G10</f>
        <v>0</v>
      </c>
      <c r="G10" s="129">
        <f>'Table IV'!H10</f>
        <v>0</v>
      </c>
      <c r="H10" s="130">
        <f>'Table IV'!I10</f>
        <v>0</v>
      </c>
      <c r="I10" s="129">
        <f>'Table IV'!J10</f>
        <v>0</v>
      </c>
      <c r="J10" s="129">
        <f>'Table IV'!K10</f>
        <v>0</v>
      </c>
      <c r="K10" s="129">
        <f>'Table IV'!L10</f>
        <v>0</v>
      </c>
      <c r="L10" s="130">
        <f>'Table IV'!M10</f>
        <v>0</v>
      </c>
      <c r="M10" s="129">
        <f>'Table IV'!N10</f>
        <v>0</v>
      </c>
      <c r="N10" s="129" t="s">
        <v>24</v>
      </c>
      <c r="O10" s="129">
        <f>'Table IV'!N10</f>
        <v>0</v>
      </c>
      <c r="P10" s="130">
        <f>'Table IV'!O10</f>
        <v>0</v>
      </c>
      <c r="Q10" s="129">
        <f>'Table IV'!P10</f>
        <v>0</v>
      </c>
      <c r="R10" s="129">
        <f>'Table IV'!Q10</f>
        <v>0</v>
      </c>
      <c r="S10" s="129">
        <f>'Table IV'!R10</f>
        <v>0</v>
      </c>
      <c r="T10" s="130">
        <f>'Table IV'!S10</f>
        <v>0</v>
      </c>
      <c r="U10" s="129">
        <f>'Table IV'!T10</f>
        <v>0</v>
      </c>
    </row>
    <row r="11" spans="1:21" x14ac:dyDescent="0.35">
      <c r="A11" s="126" t="s">
        <v>29</v>
      </c>
      <c r="B11" s="133" t="s">
        <v>30</v>
      </c>
      <c r="C11" s="128">
        <f>'Table IV'!D8</f>
        <v>0</v>
      </c>
      <c r="D11" s="128">
        <f>'Table IV'!E8</f>
        <v>0</v>
      </c>
      <c r="E11" s="128">
        <f>'Table IV'!F8</f>
        <v>0</v>
      </c>
      <c r="F11" s="128">
        <f>'Table IV'!G8</f>
        <v>0</v>
      </c>
      <c r="G11" s="129">
        <f>'Table IV'!H8</f>
        <v>0</v>
      </c>
      <c r="H11" s="130">
        <f>'Table IV'!I8</f>
        <v>0</v>
      </c>
      <c r="I11" s="129">
        <f>'Table IV'!J8</f>
        <v>0</v>
      </c>
      <c r="J11" s="129">
        <f>'Table IV'!K8</f>
        <v>0</v>
      </c>
      <c r="K11" s="129">
        <f>'Table IV'!L8</f>
        <v>0</v>
      </c>
      <c r="L11" s="130">
        <f>'Table IV'!M8</f>
        <v>0</v>
      </c>
      <c r="M11" s="129">
        <f>'Table IV'!N8</f>
        <v>0</v>
      </c>
      <c r="N11" s="129" t="s">
        <v>24</v>
      </c>
      <c r="O11" s="129">
        <f>'Table IV'!N8</f>
        <v>0</v>
      </c>
      <c r="P11" s="130">
        <f>'Table IV'!O8</f>
        <v>0</v>
      </c>
      <c r="Q11" s="129">
        <f>'Table IV'!P8</f>
        <v>0</v>
      </c>
      <c r="R11" s="129">
        <f>'Table IV'!Q8</f>
        <v>0</v>
      </c>
      <c r="S11" s="129">
        <f>'Table IV'!R8</f>
        <v>0</v>
      </c>
      <c r="T11" s="130">
        <f>'Table IV'!S8</f>
        <v>0</v>
      </c>
      <c r="U11" s="129">
        <f>'Table IV'!T8</f>
        <v>0</v>
      </c>
    </row>
    <row r="12" spans="1:21" x14ac:dyDescent="0.35">
      <c r="A12" s="126" t="s">
        <v>31</v>
      </c>
      <c r="B12" s="133" t="s">
        <v>32</v>
      </c>
      <c r="C12" s="128">
        <f>'Table IV'!D9</f>
        <v>0</v>
      </c>
      <c r="D12" s="128">
        <f>'Table IV'!E9</f>
        <v>0</v>
      </c>
      <c r="E12" s="128">
        <f>'Table IV'!F9</f>
        <v>0</v>
      </c>
      <c r="F12" s="128">
        <f>'Table IV'!G9</f>
        <v>0</v>
      </c>
      <c r="G12" s="129">
        <f>'Table IV'!H9</f>
        <v>0</v>
      </c>
      <c r="H12" s="130">
        <f>'Table IV'!I9</f>
        <v>0</v>
      </c>
      <c r="I12" s="129">
        <f>'Table IV'!J9</f>
        <v>0</v>
      </c>
      <c r="J12" s="129">
        <f>'Table IV'!K9</f>
        <v>0</v>
      </c>
      <c r="K12" s="129">
        <f>'Table IV'!L9</f>
        <v>0</v>
      </c>
      <c r="L12" s="130">
        <f>'Table IV'!M9</f>
        <v>0</v>
      </c>
      <c r="M12" s="129">
        <f>'Table IV'!N9</f>
        <v>0</v>
      </c>
      <c r="N12" s="129" t="s">
        <v>24</v>
      </c>
      <c r="O12" s="129">
        <f>'Table IV'!N9</f>
        <v>0</v>
      </c>
      <c r="P12" s="130">
        <f>'Table IV'!O9</f>
        <v>0</v>
      </c>
      <c r="Q12" s="129">
        <f>'Table IV'!P9</f>
        <v>0</v>
      </c>
      <c r="R12" s="129">
        <f>'Table IV'!Q9</f>
        <v>0</v>
      </c>
      <c r="S12" s="129">
        <f>'Table IV'!R9</f>
        <v>0</v>
      </c>
      <c r="T12" s="130">
        <f>'Table IV'!S9</f>
        <v>0</v>
      </c>
      <c r="U12" s="129">
        <f>'Table IV'!T9</f>
        <v>0</v>
      </c>
    </row>
    <row r="13" spans="1:21" x14ac:dyDescent="0.35">
      <c r="A13" s="134"/>
      <c r="B13" s="135" t="s">
        <v>19</v>
      </c>
      <c r="C13" s="136">
        <f>SUM(C8:C10)</f>
        <v>63611</v>
      </c>
      <c r="D13" s="136">
        <f t="shared" ref="D13:S13" si="0">SUM(D8:D10)</f>
        <v>243089931</v>
      </c>
      <c r="E13" s="136">
        <f t="shared" si="0"/>
        <v>0</v>
      </c>
      <c r="F13" s="136">
        <f t="shared" si="0"/>
        <v>0</v>
      </c>
      <c r="G13" s="137">
        <f t="shared" si="0"/>
        <v>243089931</v>
      </c>
      <c r="H13" s="138">
        <f>ROUND(SUM(H8:H10),0)</f>
        <v>100</v>
      </c>
      <c r="I13" s="137">
        <f t="shared" si="0"/>
        <v>243089931</v>
      </c>
      <c r="J13" s="137">
        <f t="shared" si="0"/>
        <v>0</v>
      </c>
      <c r="K13" s="137">
        <f t="shared" si="0"/>
        <v>243089931</v>
      </c>
      <c r="L13" s="138">
        <f>ROUND(SUM(L8:L10),0)</f>
        <v>100</v>
      </c>
      <c r="M13" s="137">
        <f t="shared" si="0"/>
        <v>0</v>
      </c>
      <c r="N13" s="137">
        <f t="shared" si="0"/>
        <v>0</v>
      </c>
      <c r="O13" s="137">
        <f t="shared" si="0"/>
        <v>0</v>
      </c>
      <c r="P13" s="138">
        <f>ROUND(SUM(P8:P10),0)</f>
        <v>100</v>
      </c>
      <c r="Q13" s="137">
        <f t="shared" si="0"/>
        <v>0</v>
      </c>
      <c r="R13" s="137">
        <f t="shared" si="0"/>
        <v>0</v>
      </c>
      <c r="S13" s="137">
        <f t="shared" si="0"/>
        <v>4600000</v>
      </c>
      <c r="T13" s="138">
        <f>S13/243089931*100</f>
        <v>1.8923037992881739</v>
      </c>
      <c r="U13" s="137">
        <f>SUM(U8:U12)</f>
        <v>240657377</v>
      </c>
    </row>
    <row r="14" spans="1:21" x14ac:dyDescent="0.35">
      <c r="D14" s="19"/>
      <c r="K14" s="19"/>
      <c r="U14" s="19"/>
    </row>
    <row r="15" spans="1:21" x14ac:dyDescent="0.35">
      <c r="D15" s="20">
        <f>243089931-D13</f>
        <v>0</v>
      </c>
      <c r="E15" s="19"/>
      <c r="G15" s="20"/>
      <c r="I15" s="20"/>
      <c r="K15" s="20">
        <f>243089931-K13</f>
        <v>0</v>
      </c>
    </row>
    <row r="16" spans="1:21" x14ac:dyDescent="0.35">
      <c r="D16" s="19"/>
    </row>
    <row r="17" spans="4:4" x14ac:dyDescent="0.35">
      <c r="D17" s="19"/>
    </row>
  </sheetData>
  <sheetProtection formatCells="0" formatColumns="0" formatRows="0" insertColumns="0" insertRows="0" insertHyperlinks="0" deleteColumns="0" deleteRows="0" sort="0" autoFilter="0" pivotTables="0"/>
  <mergeCells count="22">
    <mergeCell ref="A2:U2"/>
    <mergeCell ref="A3:U3"/>
    <mergeCell ref="A4:U4"/>
    <mergeCell ref="A1:U1"/>
    <mergeCell ref="A5:A7"/>
    <mergeCell ref="B5:B7"/>
    <mergeCell ref="C5:C7"/>
    <mergeCell ref="D5:D7"/>
    <mergeCell ref="E5:E7"/>
    <mergeCell ref="F5:F7"/>
    <mergeCell ref="G5:G7"/>
    <mergeCell ref="H5:H7"/>
    <mergeCell ref="S5:T6"/>
    <mergeCell ref="U5:U7"/>
    <mergeCell ref="I6:K6"/>
    <mergeCell ref="L6:L7"/>
    <mergeCell ref="Q5:R6"/>
    <mergeCell ref="I5:L5"/>
    <mergeCell ref="M5:M7"/>
    <mergeCell ref="N5:N7"/>
    <mergeCell ref="O5:O7"/>
    <mergeCell ref="P5:P7"/>
  </mergeCells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4"/>
  <sheetViews>
    <sheetView zoomScale="87" zoomScaleNormal="90" workbookViewId="0">
      <selection sqref="A1:V1"/>
    </sheetView>
  </sheetViews>
  <sheetFormatPr defaultColWidth="9.1796875" defaultRowHeight="14.5" x14ac:dyDescent="0.35"/>
  <cols>
    <col min="1" max="1" width="6.1796875" style="15" bestFit="1" customWidth="1"/>
    <col min="2" max="2" width="32.26953125" style="16" customWidth="1"/>
    <col min="3" max="3" width="12.54296875" customWidth="1"/>
    <col min="4" max="4" width="14" bestFit="1" customWidth="1"/>
    <col min="5" max="5" width="6.81640625" bestFit="1" customWidth="1"/>
    <col min="6" max="6" width="11.54296875" bestFit="1" customWidth="1"/>
    <col min="7" max="7" width="13.81640625" customWidth="1"/>
    <col min="8" max="8" width="13" style="18" customWidth="1"/>
    <col min="9" max="9" width="13.453125" bestFit="1" customWidth="1"/>
    <col min="10" max="10" width="7.26953125" customWidth="1"/>
    <col min="11" max="11" width="13.453125" bestFit="1" customWidth="1"/>
    <col min="12" max="12" width="6.7265625" style="18" customWidth="1"/>
    <col min="13" max="13" width="12.7265625" customWidth="1"/>
    <col min="14" max="14" width="15.453125" customWidth="1"/>
    <col min="15" max="15" width="4.54296875" bestFit="1" customWidth="1"/>
    <col min="16" max="16" width="7.81640625" bestFit="1" customWidth="1"/>
    <col min="17" max="17" width="12.453125" bestFit="1" customWidth="1"/>
    <col min="18" max="18" width="7.81640625" bestFit="1" customWidth="1"/>
    <col min="19" max="19" width="14.54296875" customWidth="1"/>
    <col min="20" max="20" width="12" customWidth="1"/>
    <col min="21" max="21" width="10.54296875" customWidth="1"/>
    <col min="22" max="22" width="11.54296875" customWidth="1"/>
  </cols>
  <sheetData>
    <row r="1" spans="1:22" s="2" customFormat="1" ht="15" customHeight="1" x14ac:dyDescent="0.35">
      <c r="A1" s="145" t="s">
        <v>50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s="7" customFormat="1" x14ac:dyDescent="0.35">
      <c r="A2" s="148" t="s">
        <v>185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3" spans="1:22" s="7" customFormat="1" x14ac:dyDescent="0.35">
      <c r="A3" s="150" t="s">
        <v>229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2" s="12" customFormat="1" x14ac:dyDescent="0.35">
      <c r="A4" s="152" t="s">
        <v>48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4"/>
    </row>
    <row r="5" spans="1:22" s="13" customFormat="1" ht="57.75" customHeight="1" x14ac:dyDescent="0.3">
      <c r="A5" s="142"/>
      <c r="B5" s="155" t="s">
        <v>70</v>
      </c>
      <c r="C5" s="142" t="s">
        <v>72</v>
      </c>
      <c r="D5" s="142" t="s">
        <v>2</v>
      </c>
      <c r="E5" s="142" t="s">
        <v>73</v>
      </c>
      <c r="F5" s="142" t="s">
        <v>74</v>
      </c>
      <c r="G5" s="142" t="s">
        <v>75</v>
      </c>
      <c r="H5" s="143" t="s">
        <v>76</v>
      </c>
      <c r="I5" s="142" t="s">
        <v>49</v>
      </c>
      <c r="J5" s="142"/>
      <c r="K5" s="142"/>
      <c r="L5" s="142"/>
      <c r="M5" s="142" t="s">
        <v>77</v>
      </c>
      <c r="N5" s="144" t="s">
        <v>78</v>
      </c>
      <c r="O5" s="142" t="s">
        <v>12</v>
      </c>
      <c r="P5" s="142"/>
      <c r="Q5" s="142" t="s">
        <v>13</v>
      </c>
      <c r="R5" s="142"/>
      <c r="S5" s="142" t="s">
        <v>79</v>
      </c>
      <c r="T5" s="147" t="s">
        <v>180</v>
      </c>
      <c r="U5" s="147"/>
      <c r="V5" s="147"/>
    </row>
    <row r="6" spans="1:22" s="13" customFormat="1" ht="15" customHeight="1" x14ac:dyDescent="0.3">
      <c r="A6" s="142"/>
      <c r="B6" s="155"/>
      <c r="C6" s="142"/>
      <c r="D6" s="142"/>
      <c r="E6" s="142"/>
      <c r="F6" s="142"/>
      <c r="G6" s="142"/>
      <c r="H6" s="143"/>
      <c r="I6" s="142" t="s">
        <v>80</v>
      </c>
      <c r="J6" s="142"/>
      <c r="K6" s="142"/>
      <c r="L6" s="143" t="s">
        <v>81</v>
      </c>
      <c r="M6" s="142"/>
      <c r="N6" s="144"/>
      <c r="O6" s="142" t="s">
        <v>82</v>
      </c>
      <c r="P6" s="144" t="s">
        <v>21</v>
      </c>
      <c r="Q6" s="142" t="s">
        <v>20</v>
      </c>
      <c r="R6" s="144" t="s">
        <v>83</v>
      </c>
      <c r="S6" s="142"/>
      <c r="T6" s="147" t="s">
        <v>181</v>
      </c>
      <c r="U6" s="147"/>
      <c r="V6" s="147"/>
    </row>
    <row r="7" spans="1:22" s="13" customFormat="1" ht="67.5" customHeight="1" x14ac:dyDescent="0.3">
      <c r="A7" s="142"/>
      <c r="B7" s="155"/>
      <c r="C7" s="142"/>
      <c r="D7" s="142"/>
      <c r="E7" s="142"/>
      <c r="F7" s="142"/>
      <c r="G7" s="142"/>
      <c r="H7" s="143"/>
      <c r="I7" s="29" t="s">
        <v>84</v>
      </c>
      <c r="J7" s="29" t="s">
        <v>85</v>
      </c>
      <c r="K7" s="29" t="s">
        <v>19</v>
      </c>
      <c r="L7" s="143"/>
      <c r="M7" s="142"/>
      <c r="N7" s="144"/>
      <c r="O7" s="142"/>
      <c r="P7" s="144"/>
      <c r="Q7" s="142"/>
      <c r="R7" s="144"/>
      <c r="S7" s="142"/>
      <c r="T7" s="31" t="s">
        <v>182</v>
      </c>
      <c r="U7" s="31" t="s">
        <v>183</v>
      </c>
      <c r="V7" s="31" t="s">
        <v>184</v>
      </c>
    </row>
    <row r="8" spans="1:22" s="14" customFormat="1" x14ac:dyDescent="0.35">
      <c r="A8" s="32">
        <v>1</v>
      </c>
      <c r="B8" s="30" t="s">
        <v>86</v>
      </c>
      <c r="C8" s="33"/>
      <c r="D8" s="34"/>
      <c r="E8" s="34"/>
      <c r="F8" s="35"/>
      <c r="G8" s="35"/>
      <c r="H8" s="36"/>
      <c r="I8" s="37"/>
      <c r="J8" s="37"/>
      <c r="K8" s="34"/>
      <c r="L8" s="36"/>
      <c r="M8" s="34"/>
      <c r="N8" s="35"/>
      <c r="O8" s="37"/>
      <c r="P8" s="35"/>
      <c r="Q8" s="34"/>
      <c r="R8" s="35"/>
      <c r="S8" s="38"/>
      <c r="T8" s="39"/>
      <c r="U8" s="39"/>
      <c r="V8" s="39"/>
    </row>
    <row r="9" spans="1:22" s="14" customFormat="1" x14ac:dyDescent="0.35">
      <c r="A9" s="32" t="s">
        <v>51</v>
      </c>
      <c r="B9" s="30" t="s">
        <v>87</v>
      </c>
      <c r="C9" s="40">
        <f>COUNT(A10:A42)</f>
        <v>33</v>
      </c>
      <c r="D9" s="41">
        <f t="shared" ref="D9:I9" si="0">SUM(D10:D42)</f>
        <v>38933946</v>
      </c>
      <c r="E9" s="42">
        <f t="shared" si="0"/>
        <v>0</v>
      </c>
      <c r="F9" s="41">
        <f t="shared" si="0"/>
        <v>0</v>
      </c>
      <c r="G9" s="41">
        <f t="shared" si="0"/>
        <v>38933946</v>
      </c>
      <c r="H9" s="43">
        <f t="shared" si="0"/>
        <v>16.016272595017522</v>
      </c>
      <c r="I9" s="41">
        <f t="shared" si="0"/>
        <v>38933946</v>
      </c>
      <c r="J9" s="44" t="s">
        <v>125</v>
      </c>
      <c r="K9" s="41">
        <f t="shared" ref="K9:Q9" si="1">SUM(K10:K42)</f>
        <v>38933946</v>
      </c>
      <c r="L9" s="43">
        <f t="shared" si="1"/>
        <v>16.016272595017522</v>
      </c>
      <c r="M9" s="45">
        <f t="shared" si="1"/>
        <v>0</v>
      </c>
      <c r="N9" s="45">
        <f t="shared" si="1"/>
        <v>16.016272595017522</v>
      </c>
      <c r="O9" s="41">
        <f t="shared" si="1"/>
        <v>0</v>
      </c>
      <c r="P9" s="41">
        <f t="shared" si="1"/>
        <v>0</v>
      </c>
      <c r="Q9" s="41">
        <f t="shared" si="1"/>
        <v>4600000</v>
      </c>
      <c r="R9" s="46">
        <f>Q9/G9%</f>
        <v>11.814882570597904</v>
      </c>
      <c r="S9" s="41">
        <f>SUM(S10:S42)</f>
        <v>38933572</v>
      </c>
      <c r="T9" s="47"/>
      <c r="U9" s="39"/>
      <c r="V9" s="39"/>
    </row>
    <row r="10" spans="1:22" x14ac:dyDescent="0.35">
      <c r="A10" s="48">
        <v>1</v>
      </c>
      <c r="B10" s="49" t="s">
        <v>192</v>
      </c>
      <c r="C10" s="50"/>
      <c r="D10" s="51">
        <f>29210761+20000</f>
        <v>29230761</v>
      </c>
      <c r="E10" s="52">
        <v>0</v>
      </c>
      <c r="F10" s="53">
        <v>0</v>
      </c>
      <c r="G10" s="51">
        <f>D10</f>
        <v>29230761</v>
      </c>
      <c r="H10" s="54">
        <f>G10/243089931*100</f>
        <v>12.02466958617056</v>
      </c>
      <c r="I10" s="51">
        <f>G10</f>
        <v>29230761</v>
      </c>
      <c r="J10" s="53">
        <v>0</v>
      </c>
      <c r="K10" s="51">
        <f>I10</f>
        <v>29230761</v>
      </c>
      <c r="L10" s="54">
        <f>K10/243089931*100</f>
        <v>12.02466958617056</v>
      </c>
      <c r="M10" s="55">
        <v>0</v>
      </c>
      <c r="N10" s="56">
        <f>K10/243089931*100</f>
        <v>12.02466958617056</v>
      </c>
      <c r="O10" s="53">
        <v>0</v>
      </c>
      <c r="P10" s="53">
        <v>0</v>
      </c>
      <c r="Q10" s="57">
        <f>5900910-100910-800000+200000-1400000+700000+100000</f>
        <v>4600000</v>
      </c>
      <c r="R10" s="58">
        <f t="shared" ref="R10:R71" si="2">Q10/G10%</f>
        <v>15.736846536427841</v>
      </c>
      <c r="S10" s="59">
        <f>K10</f>
        <v>29230761</v>
      </c>
      <c r="T10" s="60"/>
      <c r="U10" s="60"/>
      <c r="V10" s="60"/>
    </row>
    <row r="11" spans="1:22" x14ac:dyDescent="0.35">
      <c r="A11" s="48">
        <f>A10+1</f>
        <v>2</v>
      </c>
      <c r="B11" s="49" t="s">
        <v>193</v>
      </c>
      <c r="C11" s="50"/>
      <c r="D11" s="61">
        <f>3483767+9500+24200</f>
        <v>3517467</v>
      </c>
      <c r="E11" s="52">
        <v>0</v>
      </c>
      <c r="F11" s="53">
        <v>0</v>
      </c>
      <c r="G11" s="51">
        <f t="shared" ref="G11:G42" si="3">D11</f>
        <v>3517467</v>
      </c>
      <c r="H11" s="54">
        <f t="shared" ref="H11:H41" si="4">G11/243089931*100</f>
        <v>1.4469817756458205</v>
      </c>
      <c r="I11" s="51">
        <f t="shared" ref="I11:I42" si="5">G11</f>
        <v>3517467</v>
      </c>
      <c r="J11" s="53">
        <v>0</v>
      </c>
      <c r="K11" s="51">
        <f t="shared" ref="K11:K42" si="6">I11</f>
        <v>3517467</v>
      </c>
      <c r="L11" s="54">
        <f t="shared" ref="L11:L41" si="7">K11/243089931*100</f>
        <v>1.4469817756458205</v>
      </c>
      <c r="M11" s="55">
        <v>0</v>
      </c>
      <c r="N11" s="56">
        <f t="shared" ref="N11:N41" si="8">K11/243089931*100</f>
        <v>1.4469817756458205</v>
      </c>
      <c r="O11" s="53">
        <v>0</v>
      </c>
      <c r="P11" s="53">
        <v>0</v>
      </c>
      <c r="Q11" s="62">
        <v>0</v>
      </c>
      <c r="R11" s="58">
        <f t="shared" si="2"/>
        <v>0</v>
      </c>
      <c r="S11" s="59">
        <f t="shared" ref="S11:S42" si="9">K11</f>
        <v>3517467</v>
      </c>
      <c r="T11" s="60"/>
      <c r="U11" s="60"/>
      <c r="V11" s="60"/>
    </row>
    <row r="12" spans="1:22" x14ac:dyDescent="0.35">
      <c r="A12" s="48">
        <f t="shared" ref="A12:A14" si="10">A11+1</f>
        <v>3</v>
      </c>
      <c r="B12" s="49" t="s">
        <v>88</v>
      </c>
      <c r="C12" s="50"/>
      <c r="D12" s="51">
        <v>816000</v>
      </c>
      <c r="E12" s="52">
        <v>0</v>
      </c>
      <c r="F12" s="53">
        <v>0</v>
      </c>
      <c r="G12" s="51">
        <f t="shared" si="3"/>
        <v>816000</v>
      </c>
      <c r="H12" s="54">
        <f t="shared" si="4"/>
        <v>0.33567823917807604</v>
      </c>
      <c r="I12" s="51">
        <f t="shared" si="5"/>
        <v>816000</v>
      </c>
      <c r="J12" s="53">
        <v>0</v>
      </c>
      <c r="K12" s="51">
        <f t="shared" si="6"/>
        <v>816000</v>
      </c>
      <c r="L12" s="54">
        <f t="shared" si="7"/>
        <v>0.33567823917807604</v>
      </c>
      <c r="M12" s="63">
        <v>0</v>
      </c>
      <c r="N12" s="56">
        <f t="shared" si="8"/>
        <v>0.33567823917807604</v>
      </c>
      <c r="O12" s="53">
        <v>0</v>
      </c>
      <c r="P12" s="53">
        <v>0</v>
      </c>
      <c r="Q12" s="63">
        <v>0</v>
      </c>
      <c r="R12" s="58">
        <f t="shared" si="2"/>
        <v>0</v>
      </c>
      <c r="S12" s="59">
        <f t="shared" si="9"/>
        <v>816000</v>
      </c>
      <c r="T12" s="60"/>
      <c r="U12" s="60"/>
      <c r="V12" s="60"/>
    </row>
    <row r="13" spans="1:22" x14ac:dyDescent="0.35">
      <c r="A13" s="48">
        <f t="shared" si="10"/>
        <v>4</v>
      </c>
      <c r="B13" s="49" t="s">
        <v>194</v>
      </c>
      <c r="C13" s="50"/>
      <c r="D13" s="51">
        <f>717086+500</f>
        <v>717586</v>
      </c>
      <c r="E13" s="52">
        <v>0</v>
      </c>
      <c r="F13" s="53">
        <v>0</v>
      </c>
      <c r="G13" s="51">
        <f t="shared" si="3"/>
        <v>717586</v>
      </c>
      <c r="H13" s="54">
        <f t="shared" si="4"/>
        <v>0.29519363350347899</v>
      </c>
      <c r="I13" s="51">
        <f t="shared" si="5"/>
        <v>717586</v>
      </c>
      <c r="J13" s="53">
        <v>0</v>
      </c>
      <c r="K13" s="51">
        <f t="shared" si="6"/>
        <v>717586</v>
      </c>
      <c r="L13" s="54">
        <f t="shared" si="7"/>
        <v>0.29519363350347899</v>
      </c>
      <c r="M13" s="64">
        <v>0</v>
      </c>
      <c r="N13" s="56">
        <f t="shared" si="8"/>
        <v>0.29519363350347899</v>
      </c>
      <c r="O13" s="53">
        <v>0</v>
      </c>
      <c r="P13" s="53">
        <v>0</v>
      </c>
      <c r="Q13" s="62">
        <v>0</v>
      </c>
      <c r="R13" s="58">
        <f t="shared" si="2"/>
        <v>0</v>
      </c>
      <c r="S13" s="59">
        <f t="shared" si="9"/>
        <v>717586</v>
      </c>
      <c r="T13" s="60"/>
      <c r="U13" s="60"/>
      <c r="V13" s="60"/>
    </row>
    <row r="14" spans="1:22" x14ac:dyDescent="0.35">
      <c r="A14" s="48">
        <f t="shared" si="10"/>
        <v>5</v>
      </c>
      <c r="B14" s="49" t="s">
        <v>195</v>
      </c>
      <c r="C14" s="50"/>
      <c r="D14" s="51">
        <f>641086+1000</f>
        <v>642086</v>
      </c>
      <c r="E14" s="52">
        <v>0</v>
      </c>
      <c r="F14" s="53">
        <v>0</v>
      </c>
      <c r="G14" s="51">
        <f t="shared" si="3"/>
        <v>642086</v>
      </c>
      <c r="H14" s="54">
        <f t="shared" si="4"/>
        <v>0.26413516897168399</v>
      </c>
      <c r="I14" s="51">
        <f t="shared" si="5"/>
        <v>642086</v>
      </c>
      <c r="J14" s="53">
        <v>0</v>
      </c>
      <c r="K14" s="51">
        <f t="shared" si="6"/>
        <v>642086</v>
      </c>
      <c r="L14" s="54">
        <f t="shared" si="7"/>
        <v>0.26413516897168399</v>
      </c>
      <c r="M14" s="64">
        <v>0</v>
      </c>
      <c r="N14" s="56">
        <f t="shared" si="8"/>
        <v>0.26413516897168399</v>
      </c>
      <c r="O14" s="53">
        <v>0</v>
      </c>
      <c r="P14" s="53">
        <v>0</v>
      </c>
      <c r="Q14" s="62">
        <v>0</v>
      </c>
      <c r="R14" s="58">
        <f t="shared" si="2"/>
        <v>0</v>
      </c>
      <c r="S14" s="59">
        <f t="shared" si="9"/>
        <v>642086</v>
      </c>
      <c r="T14" s="60"/>
      <c r="U14" s="60"/>
      <c r="V14" s="60"/>
    </row>
    <row r="15" spans="1:22" x14ac:dyDescent="0.35">
      <c r="A15" s="48">
        <f t="shared" ref="A15:A42" si="11">A14+1</f>
        <v>6</v>
      </c>
      <c r="B15" s="49" t="s">
        <v>196</v>
      </c>
      <c r="C15" s="50"/>
      <c r="D15" s="65">
        <v>563148</v>
      </c>
      <c r="E15" s="52">
        <v>0</v>
      </c>
      <c r="F15" s="53">
        <v>0</v>
      </c>
      <c r="G15" s="51">
        <f t="shared" si="3"/>
        <v>563148</v>
      </c>
      <c r="H15" s="54">
        <f t="shared" si="4"/>
        <v>0.23166241303511662</v>
      </c>
      <c r="I15" s="51">
        <f t="shared" si="5"/>
        <v>563148</v>
      </c>
      <c r="J15" s="53">
        <v>0</v>
      </c>
      <c r="K15" s="51">
        <f t="shared" si="6"/>
        <v>563148</v>
      </c>
      <c r="L15" s="54">
        <f t="shared" si="7"/>
        <v>0.23166241303511662</v>
      </c>
      <c r="M15" s="64">
        <v>0</v>
      </c>
      <c r="N15" s="56">
        <f t="shared" si="8"/>
        <v>0.23166241303511662</v>
      </c>
      <c r="O15" s="53">
        <v>0</v>
      </c>
      <c r="P15" s="53">
        <v>0</v>
      </c>
      <c r="Q15" s="62">
        <v>0</v>
      </c>
      <c r="R15" s="58">
        <f t="shared" si="2"/>
        <v>0</v>
      </c>
      <c r="S15" s="59">
        <f t="shared" si="9"/>
        <v>563148</v>
      </c>
      <c r="T15" s="60"/>
      <c r="U15" s="60"/>
      <c r="V15" s="60"/>
    </row>
    <row r="16" spans="1:22" ht="15" customHeight="1" x14ac:dyDescent="0.35">
      <c r="A16" s="48">
        <f t="shared" si="11"/>
        <v>7</v>
      </c>
      <c r="B16" s="49" t="s">
        <v>89</v>
      </c>
      <c r="C16" s="50"/>
      <c r="D16" s="51">
        <v>400000</v>
      </c>
      <c r="E16" s="52">
        <v>0</v>
      </c>
      <c r="F16" s="53">
        <v>0</v>
      </c>
      <c r="G16" s="51">
        <f t="shared" si="3"/>
        <v>400000</v>
      </c>
      <c r="H16" s="54">
        <f t="shared" si="4"/>
        <v>0.16454815645984119</v>
      </c>
      <c r="I16" s="51">
        <f t="shared" si="5"/>
        <v>400000</v>
      </c>
      <c r="J16" s="53">
        <v>0</v>
      </c>
      <c r="K16" s="51">
        <f t="shared" si="6"/>
        <v>400000</v>
      </c>
      <c r="L16" s="54">
        <f t="shared" si="7"/>
        <v>0.16454815645984119</v>
      </c>
      <c r="M16" s="64">
        <v>0</v>
      </c>
      <c r="N16" s="56">
        <f t="shared" si="8"/>
        <v>0.16454815645984119</v>
      </c>
      <c r="O16" s="53">
        <v>0</v>
      </c>
      <c r="P16" s="53">
        <v>0</v>
      </c>
      <c r="Q16" s="62">
        <v>0</v>
      </c>
      <c r="R16" s="58">
        <f t="shared" si="2"/>
        <v>0</v>
      </c>
      <c r="S16" s="59">
        <f t="shared" si="9"/>
        <v>400000</v>
      </c>
      <c r="T16" s="60"/>
      <c r="U16" s="60"/>
      <c r="V16" s="60"/>
    </row>
    <row r="17" spans="1:22" x14ac:dyDescent="0.35">
      <c r="A17" s="48">
        <f t="shared" si="11"/>
        <v>8</v>
      </c>
      <c r="B17" s="49" t="s">
        <v>197</v>
      </c>
      <c r="C17" s="50"/>
      <c r="D17" s="51">
        <f>948480-267520-316160</f>
        <v>364800</v>
      </c>
      <c r="E17" s="52">
        <v>0</v>
      </c>
      <c r="F17" s="53">
        <v>0</v>
      </c>
      <c r="G17" s="51">
        <f t="shared" si="3"/>
        <v>364800</v>
      </c>
      <c r="H17" s="54">
        <f t="shared" si="4"/>
        <v>0.15006791869137517</v>
      </c>
      <c r="I17" s="51">
        <f t="shared" si="5"/>
        <v>364800</v>
      </c>
      <c r="J17" s="53">
        <v>0</v>
      </c>
      <c r="K17" s="51">
        <f t="shared" si="6"/>
        <v>364800</v>
      </c>
      <c r="L17" s="54">
        <f t="shared" si="7"/>
        <v>0.15006791869137517</v>
      </c>
      <c r="M17" s="64">
        <v>0</v>
      </c>
      <c r="N17" s="56">
        <f t="shared" si="8"/>
        <v>0.15006791869137517</v>
      </c>
      <c r="O17" s="53">
        <v>0</v>
      </c>
      <c r="P17" s="53">
        <v>0</v>
      </c>
      <c r="Q17" s="62">
        <v>0</v>
      </c>
      <c r="R17" s="58">
        <f t="shared" si="2"/>
        <v>0</v>
      </c>
      <c r="S17" s="59">
        <f t="shared" si="9"/>
        <v>364800</v>
      </c>
      <c r="T17" s="60"/>
      <c r="U17" s="60"/>
      <c r="V17" s="60"/>
    </row>
    <row r="18" spans="1:22" x14ac:dyDescent="0.35">
      <c r="A18" s="48">
        <f t="shared" si="11"/>
        <v>9</v>
      </c>
      <c r="B18" s="49" t="s">
        <v>198</v>
      </c>
      <c r="C18" s="50"/>
      <c r="D18" s="51">
        <v>306423</v>
      </c>
      <c r="E18" s="52">
        <v>0</v>
      </c>
      <c r="F18" s="53">
        <v>0</v>
      </c>
      <c r="G18" s="51">
        <f t="shared" si="3"/>
        <v>306423</v>
      </c>
      <c r="H18" s="54">
        <f t="shared" si="4"/>
        <v>0.12605334936723478</v>
      </c>
      <c r="I18" s="51">
        <f t="shared" si="5"/>
        <v>306423</v>
      </c>
      <c r="J18" s="53">
        <v>0</v>
      </c>
      <c r="K18" s="51">
        <f t="shared" si="6"/>
        <v>306423</v>
      </c>
      <c r="L18" s="54">
        <f t="shared" si="7"/>
        <v>0.12605334936723478</v>
      </c>
      <c r="M18" s="64">
        <v>0</v>
      </c>
      <c r="N18" s="56">
        <f t="shared" si="8"/>
        <v>0.12605334936723478</v>
      </c>
      <c r="O18" s="53">
        <v>0</v>
      </c>
      <c r="P18" s="53">
        <v>0</v>
      </c>
      <c r="Q18" s="55">
        <v>0</v>
      </c>
      <c r="R18" s="58">
        <f t="shared" si="2"/>
        <v>0</v>
      </c>
      <c r="S18" s="59">
        <f t="shared" si="9"/>
        <v>306423</v>
      </c>
      <c r="T18" s="60"/>
      <c r="U18" s="60"/>
      <c r="V18" s="60"/>
    </row>
    <row r="19" spans="1:22" x14ac:dyDescent="0.35">
      <c r="A19" s="48">
        <f t="shared" si="11"/>
        <v>10</v>
      </c>
      <c r="B19" s="49" t="s">
        <v>199</v>
      </c>
      <c r="C19" s="50"/>
      <c r="D19" s="51">
        <v>347719</v>
      </c>
      <c r="E19" s="52">
        <v>0</v>
      </c>
      <c r="F19" s="53">
        <v>0</v>
      </c>
      <c r="G19" s="51">
        <f t="shared" si="3"/>
        <v>347719</v>
      </c>
      <c r="H19" s="54">
        <f t="shared" si="4"/>
        <v>0.14304130104014881</v>
      </c>
      <c r="I19" s="51">
        <f t="shared" si="5"/>
        <v>347719</v>
      </c>
      <c r="J19" s="53">
        <v>0</v>
      </c>
      <c r="K19" s="51">
        <f t="shared" si="6"/>
        <v>347719</v>
      </c>
      <c r="L19" s="54">
        <f t="shared" si="7"/>
        <v>0.14304130104014881</v>
      </c>
      <c r="M19" s="64">
        <v>0</v>
      </c>
      <c r="N19" s="56">
        <f t="shared" si="8"/>
        <v>0.14304130104014881</v>
      </c>
      <c r="O19" s="53">
        <v>0</v>
      </c>
      <c r="P19" s="53">
        <v>0</v>
      </c>
      <c r="Q19" s="66">
        <v>0</v>
      </c>
      <c r="R19" s="58">
        <f t="shared" si="2"/>
        <v>0</v>
      </c>
      <c r="S19" s="59">
        <f t="shared" si="9"/>
        <v>347719</v>
      </c>
      <c r="T19" s="60"/>
      <c r="U19" s="60"/>
      <c r="V19" s="60"/>
    </row>
    <row r="20" spans="1:22" x14ac:dyDescent="0.35">
      <c r="A20" s="48">
        <f t="shared" si="11"/>
        <v>11</v>
      </c>
      <c r="B20" s="49" t="s">
        <v>200</v>
      </c>
      <c r="C20" s="50"/>
      <c r="D20" s="51">
        <v>210400</v>
      </c>
      <c r="E20" s="52">
        <v>0</v>
      </c>
      <c r="F20" s="53">
        <v>0</v>
      </c>
      <c r="G20" s="51">
        <f t="shared" si="3"/>
        <v>210400</v>
      </c>
      <c r="H20" s="54">
        <f t="shared" si="4"/>
        <v>8.655233029787647E-2</v>
      </c>
      <c r="I20" s="51">
        <f t="shared" si="5"/>
        <v>210400</v>
      </c>
      <c r="J20" s="53">
        <v>0</v>
      </c>
      <c r="K20" s="51">
        <f t="shared" si="6"/>
        <v>210400</v>
      </c>
      <c r="L20" s="54">
        <f t="shared" si="7"/>
        <v>8.655233029787647E-2</v>
      </c>
      <c r="M20" s="64">
        <v>0</v>
      </c>
      <c r="N20" s="56">
        <f t="shared" si="8"/>
        <v>8.655233029787647E-2</v>
      </c>
      <c r="O20" s="53">
        <v>0</v>
      </c>
      <c r="P20" s="53">
        <v>0</v>
      </c>
      <c r="Q20" s="66">
        <v>0</v>
      </c>
      <c r="R20" s="58">
        <f t="shared" si="2"/>
        <v>0</v>
      </c>
      <c r="S20" s="59">
        <f t="shared" si="9"/>
        <v>210400</v>
      </c>
      <c r="T20" s="60"/>
      <c r="U20" s="60"/>
      <c r="V20" s="60"/>
    </row>
    <row r="21" spans="1:22" x14ac:dyDescent="0.35">
      <c r="A21" s="48">
        <f t="shared" si="11"/>
        <v>12</v>
      </c>
      <c r="B21" s="49" t="s">
        <v>201</v>
      </c>
      <c r="C21" s="50"/>
      <c r="D21" s="51">
        <f>210000-2500-3500+80000-160000-12000</f>
        <v>112000</v>
      </c>
      <c r="E21" s="52">
        <v>0</v>
      </c>
      <c r="F21" s="53">
        <v>0</v>
      </c>
      <c r="G21" s="51">
        <f t="shared" si="3"/>
        <v>112000</v>
      </c>
      <c r="H21" s="54">
        <f t="shared" si="4"/>
        <v>4.6073483808755533E-2</v>
      </c>
      <c r="I21" s="51">
        <f t="shared" si="5"/>
        <v>112000</v>
      </c>
      <c r="J21" s="53">
        <v>0</v>
      </c>
      <c r="K21" s="51">
        <f t="shared" si="6"/>
        <v>112000</v>
      </c>
      <c r="L21" s="54">
        <f t="shared" si="7"/>
        <v>4.6073483808755533E-2</v>
      </c>
      <c r="M21" s="64">
        <v>0</v>
      </c>
      <c r="N21" s="56">
        <f t="shared" si="8"/>
        <v>4.6073483808755533E-2</v>
      </c>
      <c r="O21" s="53">
        <v>0</v>
      </c>
      <c r="P21" s="53">
        <v>0</v>
      </c>
      <c r="Q21" s="66">
        <v>0</v>
      </c>
      <c r="R21" s="58">
        <f t="shared" si="2"/>
        <v>0</v>
      </c>
      <c r="S21" s="59">
        <f t="shared" si="9"/>
        <v>112000</v>
      </c>
      <c r="T21" s="60"/>
      <c r="U21" s="60"/>
      <c r="V21" s="60"/>
    </row>
    <row r="22" spans="1:22" x14ac:dyDescent="0.35">
      <c r="A22" s="48">
        <f t="shared" si="11"/>
        <v>13</v>
      </c>
      <c r="B22" s="49" t="s">
        <v>202</v>
      </c>
      <c r="C22" s="50"/>
      <c r="D22" s="51">
        <v>201640</v>
      </c>
      <c r="E22" s="52">
        <v>0</v>
      </c>
      <c r="F22" s="53">
        <v>0</v>
      </c>
      <c r="G22" s="51">
        <f t="shared" si="3"/>
        <v>201640</v>
      </c>
      <c r="H22" s="54">
        <f t="shared" si="4"/>
        <v>8.2948725671405946E-2</v>
      </c>
      <c r="I22" s="51">
        <f t="shared" si="5"/>
        <v>201640</v>
      </c>
      <c r="J22" s="53">
        <v>0</v>
      </c>
      <c r="K22" s="51">
        <f t="shared" si="6"/>
        <v>201640</v>
      </c>
      <c r="L22" s="54">
        <f t="shared" si="7"/>
        <v>8.2948725671405946E-2</v>
      </c>
      <c r="M22" s="64">
        <v>0</v>
      </c>
      <c r="N22" s="56">
        <f t="shared" si="8"/>
        <v>8.2948725671405946E-2</v>
      </c>
      <c r="O22" s="53">
        <v>0</v>
      </c>
      <c r="P22" s="53">
        <v>0</v>
      </c>
      <c r="Q22" s="66">
        <v>0</v>
      </c>
      <c r="R22" s="58">
        <f t="shared" si="2"/>
        <v>0</v>
      </c>
      <c r="S22" s="59">
        <f t="shared" si="9"/>
        <v>201640</v>
      </c>
      <c r="T22" s="60"/>
      <c r="U22" s="60"/>
      <c r="V22" s="60"/>
    </row>
    <row r="23" spans="1:22" x14ac:dyDescent="0.35">
      <c r="A23" s="48">
        <f t="shared" si="11"/>
        <v>14</v>
      </c>
      <c r="B23" s="49" t="s">
        <v>129</v>
      </c>
      <c r="C23" s="50"/>
      <c r="D23" s="51">
        <f>173689-10000</f>
        <v>163689</v>
      </c>
      <c r="E23" s="52">
        <v>0</v>
      </c>
      <c r="F23" s="53">
        <v>0</v>
      </c>
      <c r="G23" s="51">
        <f t="shared" si="3"/>
        <v>163689</v>
      </c>
      <c r="H23" s="54">
        <f t="shared" si="4"/>
        <v>6.733680795688736E-2</v>
      </c>
      <c r="I23" s="51">
        <f t="shared" si="5"/>
        <v>163689</v>
      </c>
      <c r="J23" s="53">
        <v>0</v>
      </c>
      <c r="K23" s="51">
        <f t="shared" si="6"/>
        <v>163689</v>
      </c>
      <c r="L23" s="54">
        <f t="shared" si="7"/>
        <v>6.733680795688736E-2</v>
      </c>
      <c r="M23" s="64">
        <v>0</v>
      </c>
      <c r="N23" s="56">
        <f t="shared" si="8"/>
        <v>6.733680795688736E-2</v>
      </c>
      <c r="O23" s="53">
        <v>0</v>
      </c>
      <c r="P23" s="53">
        <v>0</v>
      </c>
      <c r="Q23" s="66">
        <v>0</v>
      </c>
      <c r="R23" s="58">
        <f t="shared" si="2"/>
        <v>0</v>
      </c>
      <c r="S23" s="59">
        <f t="shared" si="9"/>
        <v>163689</v>
      </c>
      <c r="T23" s="60"/>
      <c r="U23" s="60"/>
      <c r="V23" s="60"/>
    </row>
    <row r="24" spans="1:22" x14ac:dyDescent="0.35">
      <c r="A24" s="48">
        <f t="shared" si="11"/>
        <v>15</v>
      </c>
      <c r="B24" s="49" t="s">
        <v>203</v>
      </c>
      <c r="C24" s="50"/>
      <c r="D24" s="51">
        <v>126150</v>
      </c>
      <c r="E24" s="52">
        <v>0</v>
      </c>
      <c r="F24" s="53">
        <v>0</v>
      </c>
      <c r="G24" s="51">
        <f t="shared" si="3"/>
        <v>126150</v>
      </c>
      <c r="H24" s="54">
        <f t="shared" si="4"/>
        <v>5.1894374843522419E-2</v>
      </c>
      <c r="I24" s="51">
        <f t="shared" si="5"/>
        <v>126150</v>
      </c>
      <c r="J24" s="53">
        <v>0</v>
      </c>
      <c r="K24" s="51">
        <f t="shared" si="6"/>
        <v>126150</v>
      </c>
      <c r="L24" s="54">
        <f t="shared" si="7"/>
        <v>5.1894374843522419E-2</v>
      </c>
      <c r="M24" s="64">
        <v>0</v>
      </c>
      <c r="N24" s="56">
        <f t="shared" si="8"/>
        <v>5.1894374843522419E-2</v>
      </c>
      <c r="O24" s="53">
        <v>0</v>
      </c>
      <c r="P24" s="53">
        <v>0</v>
      </c>
      <c r="Q24" s="66">
        <v>0</v>
      </c>
      <c r="R24" s="58">
        <v>0</v>
      </c>
      <c r="S24" s="59">
        <f t="shared" si="9"/>
        <v>126150</v>
      </c>
      <c r="T24" s="60"/>
      <c r="U24" s="60"/>
      <c r="V24" s="60"/>
    </row>
    <row r="25" spans="1:22" x14ac:dyDescent="0.35">
      <c r="A25" s="48">
        <f t="shared" si="11"/>
        <v>16</v>
      </c>
      <c r="B25" s="49" t="s">
        <v>133</v>
      </c>
      <c r="C25" s="50"/>
      <c r="D25" s="51">
        <f>113016-3000-20001-22153-2000-25687</f>
        <v>40175</v>
      </c>
      <c r="E25" s="52">
        <v>0</v>
      </c>
      <c r="F25" s="53">
        <v>0</v>
      </c>
      <c r="G25" s="51">
        <f t="shared" si="3"/>
        <v>40175</v>
      </c>
      <c r="H25" s="54">
        <f t="shared" si="4"/>
        <v>1.6526805464435301E-2</v>
      </c>
      <c r="I25" s="51">
        <f t="shared" si="5"/>
        <v>40175</v>
      </c>
      <c r="J25" s="53">
        <v>0</v>
      </c>
      <c r="K25" s="51">
        <f t="shared" si="6"/>
        <v>40175</v>
      </c>
      <c r="L25" s="54">
        <f t="shared" si="7"/>
        <v>1.6526805464435301E-2</v>
      </c>
      <c r="M25" s="64">
        <v>0</v>
      </c>
      <c r="N25" s="56">
        <f t="shared" si="8"/>
        <v>1.6526805464435301E-2</v>
      </c>
      <c r="O25" s="53">
        <v>0</v>
      </c>
      <c r="P25" s="53">
        <v>0</v>
      </c>
      <c r="Q25" s="66">
        <v>0</v>
      </c>
      <c r="R25" s="58">
        <f t="shared" si="2"/>
        <v>0</v>
      </c>
      <c r="S25" s="59">
        <f t="shared" si="9"/>
        <v>40175</v>
      </c>
      <c r="T25" s="60"/>
      <c r="U25" s="60"/>
      <c r="V25" s="60"/>
    </row>
    <row r="26" spans="1:22" x14ac:dyDescent="0.35">
      <c r="A26" s="48">
        <f t="shared" si="11"/>
        <v>17</v>
      </c>
      <c r="B26" s="49" t="s">
        <v>204</v>
      </c>
      <c r="C26" s="50"/>
      <c r="D26" s="51">
        <v>60000</v>
      </c>
      <c r="E26" s="52">
        <v>0</v>
      </c>
      <c r="F26" s="53">
        <v>0</v>
      </c>
      <c r="G26" s="51">
        <f t="shared" si="3"/>
        <v>60000</v>
      </c>
      <c r="H26" s="54">
        <f t="shared" si="4"/>
        <v>2.4682223468976177E-2</v>
      </c>
      <c r="I26" s="51">
        <f t="shared" si="5"/>
        <v>60000</v>
      </c>
      <c r="J26" s="53">
        <v>0</v>
      </c>
      <c r="K26" s="51">
        <f t="shared" si="6"/>
        <v>60000</v>
      </c>
      <c r="L26" s="54">
        <f t="shared" si="7"/>
        <v>2.4682223468976177E-2</v>
      </c>
      <c r="M26" s="64">
        <v>0</v>
      </c>
      <c r="N26" s="56">
        <f t="shared" si="8"/>
        <v>2.4682223468976177E-2</v>
      </c>
      <c r="O26" s="53">
        <v>0</v>
      </c>
      <c r="P26" s="53">
        <v>0</v>
      </c>
      <c r="Q26" s="66">
        <v>0</v>
      </c>
      <c r="R26" s="58">
        <f t="shared" si="2"/>
        <v>0</v>
      </c>
      <c r="S26" s="59">
        <f t="shared" si="9"/>
        <v>60000</v>
      </c>
      <c r="T26" s="60"/>
      <c r="U26" s="60"/>
      <c r="V26" s="60"/>
    </row>
    <row r="27" spans="1:22" x14ac:dyDescent="0.35">
      <c r="A27" s="48">
        <f t="shared" si="11"/>
        <v>18</v>
      </c>
      <c r="B27" s="49" t="s">
        <v>205</v>
      </c>
      <c r="C27" s="50"/>
      <c r="D27" s="51">
        <v>84077</v>
      </c>
      <c r="E27" s="52">
        <v>0</v>
      </c>
      <c r="F27" s="53">
        <v>0</v>
      </c>
      <c r="G27" s="51">
        <f t="shared" si="3"/>
        <v>84077</v>
      </c>
      <c r="H27" s="54">
        <f t="shared" si="4"/>
        <v>3.4586788376685169E-2</v>
      </c>
      <c r="I27" s="51">
        <f t="shared" si="5"/>
        <v>84077</v>
      </c>
      <c r="J27" s="53">
        <v>0</v>
      </c>
      <c r="K27" s="51">
        <f t="shared" si="6"/>
        <v>84077</v>
      </c>
      <c r="L27" s="54">
        <f t="shared" si="7"/>
        <v>3.4586788376685169E-2</v>
      </c>
      <c r="M27" s="64">
        <v>0</v>
      </c>
      <c r="N27" s="56">
        <f t="shared" si="8"/>
        <v>3.4586788376685169E-2</v>
      </c>
      <c r="O27" s="53">
        <v>0</v>
      </c>
      <c r="P27" s="53">
        <v>0</v>
      </c>
      <c r="Q27" s="66">
        <v>0</v>
      </c>
      <c r="R27" s="58">
        <f t="shared" si="2"/>
        <v>0</v>
      </c>
      <c r="S27" s="59">
        <f t="shared" si="9"/>
        <v>84077</v>
      </c>
      <c r="T27" s="60"/>
      <c r="U27" s="60"/>
      <c r="V27" s="60"/>
    </row>
    <row r="28" spans="1:22" x14ac:dyDescent="0.35">
      <c r="A28" s="48">
        <f t="shared" si="11"/>
        <v>19</v>
      </c>
      <c r="B28" s="49" t="s">
        <v>206</v>
      </c>
      <c r="C28" s="50"/>
      <c r="D28" s="51">
        <v>64000</v>
      </c>
      <c r="E28" s="52">
        <v>0</v>
      </c>
      <c r="F28" s="53">
        <v>0</v>
      </c>
      <c r="G28" s="51">
        <f t="shared" si="3"/>
        <v>64000</v>
      </c>
      <c r="H28" s="54">
        <f t="shared" si="4"/>
        <v>2.6327705033574591E-2</v>
      </c>
      <c r="I28" s="51">
        <f t="shared" si="5"/>
        <v>64000</v>
      </c>
      <c r="J28" s="53">
        <v>0</v>
      </c>
      <c r="K28" s="51">
        <f t="shared" si="6"/>
        <v>64000</v>
      </c>
      <c r="L28" s="54">
        <f t="shared" si="7"/>
        <v>2.6327705033574591E-2</v>
      </c>
      <c r="M28" s="64">
        <v>0</v>
      </c>
      <c r="N28" s="56">
        <f t="shared" si="8"/>
        <v>2.6327705033574591E-2</v>
      </c>
      <c r="O28" s="53">
        <v>0</v>
      </c>
      <c r="P28" s="53">
        <v>0</v>
      </c>
      <c r="Q28" s="66">
        <v>0</v>
      </c>
      <c r="R28" s="58">
        <f t="shared" si="2"/>
        <v>0</v>
      </c>
      <c r="S28" s="59">
        <f t="shared" si="9"/>
        <v>64000</v>
      </c>
      <c r="T28" s="60"/>
      <c r="U28" s="60"/>
      <c r="V28" s="60"/>
    </row>
    <row r="29" spans="1:22" x14ac:dyDescent="0.35">
      <c r="A29" s="48">
        <f t="shared" si="11"/>
        <v>20</v>
      </c>
      <c r="B29" s="49" t="s">
        <v>207</v>
      </c>
      <c r="C29" s="50"/>
      <c r="D29" s="51">
        <v>63000</v>
      </c>
      <c r="E29" s="52">
        <v>0</v>
      </c>
      <c r="F29" s="53">
        <v>0</v>
      </c>
      <c r="G29" s="51">
        <f t="shared" si="3"/>
        <v>63000</v>
      </c>
      <c r="H29" s="54">
        <f t="shared" si="4"/>
        <v>2.5916334642424987E-2</v>
      </c>
      <c r="I29" s="51">
        <f t="shared" si="5"/>
        <v>63000</v>
      </c>
      <c r="J29" s="53">
        <v>0</v>
      </c>
      <c r="K29" s="51">
        <f t="shared" si="6"/>
        <v>63000</v>
      </c>
      <c r="L29" s="54">
        <f t="shared" si="7"/>
        <v>2.5916334642424987E-2</v>
      </c>
      <c r="M29" s="64">
        <v>0</v>
      </c>
      <c r="N29" s="56">
        <f t="shared" si="8"/>
        <v>2.5916334642424987E-2</v>
      </c>
      <c r="O29" s="53">
        <v>0</v>
      </c>
      <c r="P29" s="53">
        <v>0</v>
      </c>
      <c r="Q29" s="66">
        <v>0</v>
      </c>
      <c r="R29" s="58">
        <f t="shared" si="2"/>
        <v>0</v>
      </c>
      <c r="S29" s="59">
        <f t="shared" si="9"/>
        <v>63000</v>
      </c>
      <c r="T29" s="60"/>
      <c r="U29" s="60"/>
      <c r="V29" s="60"/>
    </row>
    <row r="30" spans="1:22" x14ac:dyDescent="0.35">
      <c r="A30" s="48">
        <f t="shared" si="11"/>
        <v>21</v>
      </c>
      <c r="B30" s="49" t="s">
        <v>191</v>
      </c>
      <c r="C30" s="50"/>
      <c r="D30" s="51">
        <v>56800</v>
      </c>
      <c r="E30" s="52">
        <v>0</v>
      </c>
      <c r="F30" s="53">
        <v>0</v>
      </c>
      <c r="G30" s="51">
        <f t="shared" si="3"/>
        <v>56800</v>
      </c>
      <c r="H30" s="54">
        <f t="shared" si="4"/>
        <v>2.3365838217297451E-2</v>
      </c>
      <c r="I30" s="51">
        <f t="shared" si="5"/>
        <v>56800</v>
      </c>
      <c r="J30" s="53">
        <v>0</v>
      </c>
      <c r="K30" s="51">
        <f t="shared" si="6"/>
        <v>56800</v>
      </c>
      <c r="L30" s="54">
        <f t="shared" si="7"/>
        <v>2.3365838217297451E-2</v>
      </c>
      <c r="M30" s="64">
        <v>0</v>
      </c>
      <c r="N30" s="56">
        <f t="shared" si="8"/>
        <v>2.3365838217297451E-2</v>
      </c>
      <c r="O30" s="53">
        <v>0</v>
      </c>
      <c r="P30" s="53">
        <v>0</v>
      </c>
      <c r="Q30" s="66">
        <v>0</v>
      </c>
      <c r="R30" s="58">
        <f t="shared" si="2"/>
        <v>0</v>
      </c>
      <c r="S30" s="59">
        <f t="shared" si="9"/>
        <v>56800</v>
      </c>
      <c r="T30" s="60"/>
      <c r="U30" s="60"/>
      <c r="V30" s="60"/>
    </row>
    <row r="31" spans="1:22" x14ac:dyDescent="0.35">
      <c r="A31" s="48">
        <f t="shared" si="11"/>
        <v>22</v>
      </c>
      <c r="B31" s="49" t="s">
        <v>208</v>
      </c>
      <c r="C31" s="50"/>
      <c r="D31" s="51">
        <v>55700</v>
      </c>
      <c r="E31" s="52">
        <v>0</v>
      </c>
      <c r="F31" s="53">
        <v>0</v>
      </c>
      <c r="G31" s="51">
        <f t="shared" si="3"/>
        <v>55700</v>
      </c>
      <c r="H31" s="54">
        <f t="shared" si="4"/>
        <v>2.2913330787032886E-2</v>
      </c>
      <c r="I31" s="51">
        <f t="shared" si="5"/>
        <v>55700</v>
      </c>
      <c r="J31" s="53">
        <v>0</v>
      </c>
      <c r="K31" s="51">
        <f t="shared" si="6"/>
        <v>55700</v>
      </c>
      <c r="L31" s="54">
        <f t="shared" si="7"/>
        <v>2.2913330787032886E-2</v>
      </c>
      <c r="M31" s="64">
        <v>0</v>
      </c>
      <c r="N31" s="56">
        <f t="shared" si="8"/>
        <v>2.2913330787032886E-2</v>
      </c>
      <c r="O31" s="53">
        <v>0</v>
      </c>
      <c r="P31" s="53">
        <v>0</v>
      </c>
      <c r="Q31" s="66">
        <v>0</v>
      </c>
      <c r="R31" s="58">
        <f t="shared" si="2"/>
        <v>0</v>
      </c>
      <c r="S31" s="59">
        <f t="shared" si="9"/>
        <v>55700</v>
      </c>
      <c r="T31" s="60"/>
      <c r="U31" s="60"/>
      <c r="V31" s="60"/>
    </row>
    <row r="32" spans="1:22" x14ac:dyDescent="0.35">
      <c r="A32" s="48">
        <f t="shared" si="11"/>
        <v>23</v>
      </c>
      <c r="B32" s="49" t="s">
        <v>209</v>
      </c>
      <c r="C32" s="50"/>
      <c r="D32" s="51">
        <v>50800</v>
      </c>
      <c r="E32" s="52">
        <v>0</v>
      </c>
      <c r="F32" s="53">
        <v>0</v>
      </c>
      <c r="G32" s="51">
        <f t="shared" si="3"/>
        <v>50800</v>
      </c>
      <c r="H32" s="54">
        <f t="shared" si="4"/>
        <v>2.089761587039983E-2</v>
      </c>
      <c r="I32" s="51">
        <f t="shared" si="5"/>
        <v>50800</v>
      </c>
      <c r="J32" s="53">
        <v>0</v>
      </c>
      <c r="K32" s="51">
        <f t="shared" si="6"/>
        <v>50800</v>
      </c>
      <c r="L32" s="54">
        <f t="shared" si="7"/>
        <v>2.089761587039983E-2</v>
      </c>
      <c r="M32" s="64">
        <v>0</v>
      </c>
      <c r="N32" s="56">
        <f t="shared" si="8"/>
        <v>2.089761587039983E-2</v>
      </c>
      <c r="O32" s="53">
        <v>0</v>
      </c>
      <c r="P32" s="53">
        <v>0</v>
      </c>
      <c r="Q32" s="66">
        <v>0</v>
      </c>
      <c r="R32" s="58">
        <f t="shared" si="2"/>
        <v>0</v>
      </c>
      <c r="S32" s="59">
        <f t="shared" si="9"/>
        <v>50800</v>
      </c>
      <c r="T32" s="60"/>
      <c r="U32" s="60"/>
      <c r="V32" s="60"/>
    </row>
    <row r="33" spans="1:22" x14ac:dyDescent="0.35">
      <c r="A33" s="48">
        <f t="shared" si="11"/>
        <v>24</v>
      </c>
      <c r="B33" s="49" t="s">
        <v>210</v>
      </c>
      <c r="C33" s="50"/>
      <c r="D33" s="51">
        <v>40170</v>
      </c>
      <c r="E33" s="52">
        <v>0</v>
      </c>
      <c r="F33" s="53">
        <v>0</v>
      </c>
      <c r="G33" s="51">
        <f t="shared" si="3"/>
        <v>40170</v>
      </c>
      <c r="H33" s="54">
        <f t="shared" si="4"/>
        <v>1.6524748612479552E-2</v>
      </c>
      <c r="I33" s="51">
        <f t="shared" si="5"/>
        <v>40170</v>
      </c>
      <c r="J33" s="53">
        <v>0</v>
      </c>
      <c r="K33" s="51">
        <f t="shared" si="6"/>
        <v>40170</v>
      </c>
      <c r="L33" s="54">
        <f t="shared" si="7"/>
        <v>1.6524748612479552E-2</v>
      </c>
      <c r="M33" s="64">
        <v>0</v>
      </c>
      <c r="N33" s="56">
        <f t="shared" si="8"/>
        <v>1.6524748612479552E-2</v>
      </c>
      <c r="O33" s="53">
        <v>0</v>
      </c>
      <c r="P33" s="53">
        <v>0</v>
      </c>
      <c r="Q33" s="66">
        <v>0</v>
      </c>
      <c r="R33" s="58">
        <f t="shared" si="2"/>
        <v>0</v>
      </c>
      <c r="S33" s="59">
        <f t="shared" si="9"/>
        <v>40170</v>
      </c>
      <c r="T33" s="60"/>
      <c r="U33" s="60"/>
      <c r="V33" s="60"/>
    </row>
    <row r="34" spans="1:22" x14ac:dyDescent="0.35">
      <c r="A34" s="48">
        <f t="shared" si="11"/>
        <v>25</v>
      </c>
      <c r="B34" s="49" t="s">
        <v>90</v>
      </c>
      <c r="C34" s="50"/>
      <c r="D34" s="51">
        <v>40000</v>
      </c>
      <c r="E34" s="52">
        <v>0</v>
      </c>
      <c r="F34" s="53">
        <v>0</v>
      </c>
      <c r="G34" s="51">
        <f t="shared" si="3"/>
        <v>40000</v>
      </c>
      <c r="H34" s="54">
        <f t="shared" si="4"/>
        <v>1.6454815645984118E-2</v>
      </c>
      <c r="I34" s="51">
        <f t="shared" si="5"/>
        <v>40000</v>
      </c>
      <c r="J34" s="53">
        <v>0</v>
      </c>
      <c r="K34" s="51">
        <f t="shared" si="6"/>
        <v>40000</v>
      </c>
      <c r="L34" s="54">
        <f t="shared" si="7"/>
        <v>1.6454815645984118E-2</v>
      </c>
      <c r="M34" s="64">
        <v>0</v>
      </c>
      <c r="N34" s="56">
        <f t="shared" si="8"/>
        <v>1.6454815645984118E-2</v>
      </c>
      <c r="O34" s="53">
        <v>0</v>
      </c>
      <c r="P34" s="53">
        <v>0</v>
      </c>
      <c r="Q34" s="66">
        <v>0</v>
      </c>
      <c r="R34" s="58">
        <f t="shared" si="2"/>
        <v>0</v>
      </c>
      <c r="S34" s="59">
        <f t="shared" si="9"/>
        <v>40000</v>
      </c>
      <c r="T34" s="60"/>
      <c r="U34" s="60"/>
      <c r="V34" s="60"/>
    </row>
    <row r="35" spans="1:22" x14ac:dyDescent="0.35">
      <c r="A35" s="48">
        <f t="shared" si="11"/>
        <v>26</v>
      </c>
      <c r="B35" s="49" t="s">
        <v>91</v>
      </c>
      <c r="C35" s="50"/>
      <c r="D35" s="51">
        <v>25600</v>
      </c>
      <c r="E35" s="52">
        <v>0</v>
      </c>
      <c r="F35" s="53">
        <v>0</v>
      </c>
      <c r="G35" s="51">
        <f t="shared" si="3"/>
        <v>25600</v>
      </c>
      <c r="H35" s="54">
        <f t="shared" si="4"/>
        <v>1.0531082013429836E-2</v>
      </c>
      <c r="I35" s="51">
        <f t="shared" si="5"/>
        <v>25600</v>
      </c>
      <c r="J35" s="53">
        <v>0</v>
      </c>
      <c r="K35" s="51">
        <f t="shared" si="6"/>
        <v>25600</v>
      </c>
      <c r="L35" s="54">
        <f t="shared" si="7"/>
        <v>1.0531082013429836E-2</v>
      </c>
      <c r="M35" s="64">
        <v>0</v>
      </c>
      <c r="N35" s="56">
        <f t="shared" si="8"/>
        <v>1.0531082013429836E-2</v>
      </c>
      <c r="O35" s="53">
        <v>0</v>
      </c>
      <c r="P35" s="53">
        <v>0</v>
      </c>
      <c r="Q35" s="66">
        <v>0</v>
      </c>
      <c r="R35" s="58">
        <f t="shared" si="2"/>
        <v>0</v>
      </c>
      <c r="S35" s="59">
        <f t="shared" si="9"/>
        <v>25600</v>
      </c>
      <c r="T35" s="60"/>
      <c r="U35" s="60"/>
      <c r="V35" s="60"/>
    </row>
    <row r="36" spans="1:22" x14ac:dyDescent="0.35">
      <c r="A36" s="48">
        <f t="shared" si="11"/>
        <v>27</v>
      </c>
      <c r="B36" s="49" t="s">
        <v>211</v>
      </c>
      <c r="C36" s="50"/>
      <c r="D36" s="51">
        <v>18240</v>
      </c>
      <c r="E36" s="52">
        <v>0</v>
      </c>
      <c r="F36" s="53">
        <v>0</v>
      </c>
      <c r="G36" s="51">
        <f t="shared" si="3"/>
        <v>18240</v>
      </c>
      <c r="H36" s="54">
        <f t="shared" si="4"/>
        <v>7.5033959345687578E-3</v>
      </c>
      <c r="I36" s="51">
        <f t="shared" si="5"/>
        <v>18240</v>
      </c>
      <c r="J36" s="53">
        <v>0</v>
      </c>
      <c r="K36" s="51">
        <f t="shared" si="6"/>
        <v>18240</v>
      </c>
      <c r="L36" s="54">
        <f t="shared" si="7"/>
        <v>7.5033959345687578E-3</v>
      </c>
      <c r="M36" s="64">
        <v>0</v>
      </c>
      <c r="N36" s="56">
        <f t="shared" si="8"/>
        <v>7.5033959345687578E-3</v>
      </c>
      <c r="O36" s="53">
        <v>0</v>
      </c>
      <c r="P36" s="53">
        <v>0</v>
      </c>
      <c r="Q36" s="66">
        <v>0</v>
      </c>
      <c r="R36" s="58">
        <f t="shared" si="2"/>
        <v>0</v>
      </c>
      <c r="S36" s="59">
        <f t="shared" si="9"/>
        <v>18240</v>
      </c>
      <c r="T36" s="60"/>
      <c r="U36" s="60"/>
      <c r="V36" s="60"/>
    </row>
    <row r="37" spans="1:22" x14ac:dyDescent="0.35">
      <c r="A37" s="48">
        <f t="shared" si="11"/>
        <v>28</v>
      </c>
      <c r="B37" s="49" t="s">
        <v>212</v>
      </c>
      <c r="C37" s="50"/>
      <c r="D37" s="51">
        <f>10500-500</f>
        <v>10000</v>
      </c>
      <c r="E37" s="52">
        <v>0</v>
      </c>
      <c r="F37" s="53">
        <v>0</v>
      </c>
      <c r="G37" s="51">
        <f t="shared" si="3"/>
        <v>10000</v>
      </c>
      <c r="H37" s="54">
        <f t="shared" si="4"/>
        <v>4.1137039114960295E-3</v>
      </c>
      <c r="I37" s="51">
        <f t="shared" si="5"/>
        <v>10000</v>
      </c>
      <c r="J37" s="53">
        <v>0</v>
      </c>
      <c r="K37" s="51">
        <f t="shared" si="6"/>
        <v>10000</v>
      </c>
      <c r="L37" s="54">
        <f t="shared" si="7"/>
        <v>4.1137039114960295E-3</v>
      </c>
      <c r="M37" s="64">
        <v>0</v>
      </c>
      <c r="N37" s="56">
        <f t="shared" si="8"/>
        <v>4.1137039114960295E-3</v>
      </c>
      <c r="O37" s="53">
        <v>0</v>
      </c>
      <c r="P37" s="53">
        <v>0</v>
      </c>
      <c r="Q37" s="66">
        <v>0</v>
      </c>
      <c r="R37" s="58">
        <f t="shared" si="2"/>
        <v>0</v>
      </c>
      <c r="S37" s="59">
        <f t="shared" si="9"/>
        <v>10000</v>
      </c>
      <c r="T37" s="60"/>
      <c r="U37" s="60"/>
      <c r="V37" s="60"/>
    </row>
    <row r="38" spans="1:22" x14ac:dyDescent="0.35">
      <c r="A38" s="48">
        <f t="shared" si="11"/>
        <v>29</v>
      </c>
      <c r="B38" s="49" t="s">
        <v>186</v>
      </c>
      <c r="C38" s="50"/>
      <c r="D38" s="51">
        <v>1750</v>
      </c>
      <c r="E38" s="52">
        <v>0</v>
      </c>
      <c r="F38" s="53">
        <v>0</v>
      </c>
      <c r="G38" s="51">
        <f t="shared" si="3"/>
        <v>1750</v>
      </c>
      <c r="H38" s="54">
        <f t="shared" si="4"/>
        <v>7.1989818451180521E-4</v>
      </c>
      <c r="I38" s="51">
        <f t="shared" si="5"/>
        <v>1750</v>
      </c>
      <c r="J38" s="53">
        <v>0</v>
      </c>
      <c r="K38" s="51">
        <f t="shared" si="6"/>
        <v>1750</v>
      </c>
      <c r="L38" s="54">
        <f t="shared" si="7"/>
        <v>7.1989818451180521E-4</v>
      </c>
      <c r="M38" s="64">
        <v>0</v>
      </c>
      <c r="N38" s="56">
        <f t="shared" si="8"/>
        <v>7.1989818451180521E-4</v>
      </c>
      <c r="O38" s="53">
        <v>0</v>
      </c>
      <c r="P38" s="53">
        <v>0</v>
      </c>
      <c r="Q38" s="66">
        <v>0</v>
      </c>
      <c r="R38" s="58">
        <f t="shared" si="2"/>
        <v>0</v>
      </c>
      <c r="S38" s="59">
        <f t="shared" si="9"/>
        <v>1750</v>
      </c>
      <c r="T38" s="60"/>
      <c r="U38" s="60"/>
      <c r="V38" s="60"/>
    </row>
    <row r="39" spans="1:22" x14ac:dyDescent="0.35">
      <c r="A39" s="48">
        <f t="shared" si="11"/>
        <v>30</v>
      </c>
      <c r="B39" s="49" t="s">
        <v>213</v>
      </c>
      <c r="C39" s="50"/>
      <c r="D39" s="51">
        <f>612+100</f>
        <v>712</v>
      </c>
      <c r="E39" s="52">
        <v>0</v>
      </c>
      <c r="F39" s="53">
        <v>0</v>
      </c>
      <c r="G39" s="51">
        <f t="shared" si="3"/>
        <v>712</v>
      </c>
      <c r="H39" s="54">
        <f t="shared" si="4"/>
        <v>2.9289571849851735E-4</v>
      </c>
      <c r="I39" s="51">
        <f t="shared" si="5"/>
        <v>712</v>
      </c>
      <c r="J39" s="53">
        <v>0</v>
      </c>
      <c r="K39" s="51">
        <f t="shared" si="6"/>
        <v>712</v>
      </c>
      <c r="L39" s="54">
        <f t="shared" si="7"/>
        <v>2.9289571849851735E-4</v>
      </c>
      <c r="M39" s="64">
        <v>0</v>
      </c>
      <c r="N39" s="56">
        <f t="shared" si="8"/>
        <v>2.9289571849851735E-4</v>
      </c>
      <c r="O39" s="53">
        <v>0</v>
      </c>
      <c r="P39" s="53">
        <v>0</v>
      </c>
      <c r="Q39" s="66">
        <v>0</v>
      </c>
      <c r="R39" s="58">
        <f t="shared" si="2"/>
        <v>0</v>
      </c>
      <c r="S39" s="59">
        <f t="shared" si="9"/>
        <v>712</v>
      </c>
      <c r="T39" s="60"/>
      <c r="U39" s="60"/>
      <c r="V39" s="60"/>
    </row>
    <row r="40" spans="1:22" x14ac:dyDescent="0.35">
      <c r="A40" s="48">
        <f t="shared" si="11"/>
        <v>31</v>
      </c>
      <c r="B40" s="49" t="s">
        <v>214</v>
      </c>
      <c r="C40" s="50"/>
      <c r="D40" s="51">
        <f>320674+26000-8666-64045-18000-236589</f>
        <v>19374</v>
      </c>
      <c r="E40" s="52">
        <v>0</v>
      </c>
      <c r="F40" s="53">
        <v>0</v>
      </c>
      <c r="G40" s="51">
        <f t="shared" si="3"/>
        <v>19374</v>
      </c>
      <c r="H40" s="54">
        <f t="shared" si="4"/>
        <v>7.9698899581324093E-3</v>
      </c>
      <c r="I40" s="51">
        <f t="shared" si="5"/>
        <v>19374</v>
      </c>
      <c r="J40" s="53">
        <v>0</v>
      </c>
      <c r="K40" s="51">
        <f t="shared" si="6"/>
        <v>19374</v>
      </c>
      <c r="L40" s="54">
        <f t="shared" si="7"/>
        <v>7.9698899581324093E-3</v>
      </c>
      <c r="M40" s="64">
        <v>0</v>
      </c>
      <c r="N40" s="56">
        <f t="shared" si="8"/>
        <v>7.9698899581324093E-3</v>
      </c>
      <c r="O40" s="53">
        <v>0</v>
      </c>
      <c r="P40" s="53">
        <v>0</v>
      </c>
      <c r="Q40" s="66">
        <v>0</v>
      </c>
      <c r="R40" s="58">
        <f t="shared" si="2"/>
        <v>0</v>
      </c>
      <c r="S40" s="59">
        <f>K40-374</f>
        <v>19000</v>
      </c>
      <c r="T40" s="60"/>
      <c r="U40" s="60"/>
      <c r="V40" s="60"/>
    </row>
    <row r="41" spans="1:22" x14ac:dyDescent="0.35">
      <c r="A41" s="48">
        <f t="shared" si="11"/>
        <v>32</v>
      </c>
      <c r="B41" s="49" t="s">
        <v>134</v>
      </c>
      <c r="C41" s="50"/>
      <c r="D41" s="51">
        <v>267519</v>
      </c>
      <c r="E41" s="52">
        <v>0</v>
      </c>
      <c r="F41" s="53">
        <v>0</v>
      </c>
      <c r="G41" s="51">
        <f t="shared" ref="G41" si="12">D41</f>
        <v>267519</v>
      </c>
      <c r="H41" s="54">
        <f t="shared" si="4"/>
        <v>0.11004939566995064</v>
      </c>
      <c r="I41" s="51">
        <f t="shared" ref="I41" si="13">G41</f>
        <v>267519</v>
      </c>
      <c r="J41" s="53">
        <v>0</v>
      </c>
      <c r="K41" s="51">
        <f t="shared" ref="K41" si="14">I41</f>
        <v>267519</v>
      </c>
      <c r="L41" s="54">
        <f t="shared" si="7"/>
        <v>0.11004939566995064</v>
      </c>
      <c r="M41" s="64">
        <v>0</v>
      </c>
      <c r="N41" s="56">
        <f t="shared" si="8"/>
        <v>0.11004939566995064</v>
      </c>
      <c r="O41" s="53">
        <v>0</v>
      </c>
      <c r="P41" s="53">
        <v>0</v>
      </c>
      <c r="Q41" s="66">
        <v>0</v>
      </c>
      <c r="R41" s="58">
        <f t="shared" si="2"/>
        <v>0</v>
      </c>
      <c r="S41" s="59">
        <f t="shared" ref="S41" si="15">K41</f>
        <v>267519</v>
      </c>
      <c r="T41" s="60"/>
      <c r="U41" s="60"/>
      <c r="V41" s="60"/>
    </row>
    <row r="42" spans="1:22" x14ac:dyDescent="0.35">
      <c r="A42" s="48">
        <f t="shared" si="11"/>
        <v>33</v>
      </c>
      <c r="B42" s="49" t="s">
        <v>135</v>
      </c>
      <c r="C42" s="50"/>
      <c r="D42" s="51">
        <v>316160</v>
      </c>
      <c r="E42" s="52">
        <v>0</v>
      </c>
      <c r="F42" s="53">
        <v>0</v>
      </c>
      <c r="G42" s="51">
        <f t="shared" si="3"/>
        <v>316160</v>
      </c>
      <c r="H42" s="54">
        <f t="shared" ref="H42" si="16">G42/243089931*100</f>
        <v>0.13005886286585847</v>
      </c>
      <c r="I42" s="51">
        <f t="shared" si="5"/>
        <v>316160</v>
      </c>
      <c r="J42" s="53">
        <v>0</v>
      </c>
      <c r="K42" s="51">
        <f t="shared" si="6"/>
        <v>316160</v>
      </c>
      <c r="L42" s="54">
        <f t="shared" ref="L42" si="17">K42/243089931*100</f>
        <v>0.13005886286585847</v>
      </c>
      <c r="M42" s="64">
        <v>0</v>
      </c>
      <c r="N42" s="56">
        <f t="shared" ref="N42" si="18">K42/243089931*100</f>
        <v>0.13005886286585847</v>
      </c>
      <c r="O42" s="53">
        <v>0</v>
      </c>
      <c r="P42" s="53">
        <v>0</v>
      </c>
      <c r="Q42" s="66">
        <v>0</v>
      </c>
      <c r="R42" s="58">
        <f t="shared" ref="R42" si="19">Q42/G42%</f>
        <v>0</v>
      </c>
      <c r="S42" s="59">
        <f t="shared" si="9"/>
        <v>316160</v>
      </c>
      <c r="T42" s="60"/>
      <c r="U42" s="60"/>
      <c r="V42" s="60"/>
    </row>
    <row r="43" spans="1:22" s="14" customFormat="1" ht="26" x14ac:dyDescent="0.35">
      <c r="A43" s="32" t="s">
        <v>52</v>
      </c>
      <c r="B43" s="30" t="s">
        <v>92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67">
        <v>0</v>
      </c>
      <c r="I43" s="40">
        <v>0</v>
      </c>
      <c r="J43" s="40">
        <v>0</v>
      </c>
      <c r="K43" s="40">
        <v>0</v>
      </c>
      <c r="L43" s="67">
        <v>0</v>
      </c>
      <c r="M43" s="40">
        <v>0</v>
      </c>
      <c r="N43" s="68">
        <v>0</v>
      </c>
      <c r="O43" s="40">
        <v>0</v>
      </c>
      <c r="P43" s="40">
        <v>0</v>
      </c>
      <c r="Q43" s="40">
        <v>0</v>
      </c>
      <c r="R43" s="46"/>
      <c r="S43" s="40">
        <v>0</v>
      </c>
      <c r="T43" s="39"/>
      <c r="U43" s="39"/>
      <c r="V43" s="39"/>
    </row>
    <row r="44" spans="1:22" s="14" customFormat="1" x14ac:dyDescent="0.35">
      <c r="A44" s="32" t="s">
        <v>53</v>
      </c>
      <c r="B44" s="30" t="s">
        <v>130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67">
        <v>0</v>
      </c>
      <c r="I44" s="40">
        <v>0</v>
      </c>
      <c r="J44" s="40">
        <v>0</v>
      </c>
      <c r="K44" s="40">
        <v>0</v>
      </c>
      <c r="L44" s="67">
        <v>0</v>
      </c>
      <c r="M44" s="40">
        <v>0</v>
      </c>
      <c r="N44" s="68">
        <v>0</v>
      </c>
      <c r="O44" s="40">
        <v>0</v>
      </c>
      <c r="P44" s="40">
        <v>0</v>
      </c>
      <c r="Q44" s="40">
        <v>0</v>
      </c>
      <c r="R44" s="46"/>
      <c r="S44" s="40">
        <v>0</v>
      </c>
      <c r="T44" s="39"/>
      <c r="U44" s="39"/>
      <c r="V44" s="39"/>
    </row>
    <row r="45" spans="1:22" s="14" customFormat="1" x14ac:dyDescent="0.35">
      <c r="A45" s="32" t="s">
        <v>54</v>
      </c>
      <c r="B45" s="30" t="s">
        <v>93</v>
      </c>
      <c r="C45" s="40">
        <f>C46+C50+C53</f>
        <v>7</v>
      </c>
      <c r="D45" s="40">
        <f t="shared" ref="D45:V45" si="20">D46+D50+D53</f>
        <v>35136199</v>
      </c>
      <c r="E45" s="40">
        <f t="shared" si="20"/>
        <v>0</v>
      </c>
      <c r="F45" s="40">
        <f t="shared" si="20"/>
        <v>0</v>
      </c>
      <c r="G45" s="40">
        <f t="shared" si="20"/>
        <v>35136199</v>
      </c>
      <c r="H45" s="68">
        <f t="shared" si="20"/>
        <v>14.453991926140286</v>
      </c>
      <c r="I45" s="40">
        <f t="shared" si="20"/>
        <v>35136199</v>
      </c>
      <c r="J45" s="40">
        <f t="shared" si="20"/>
        <v>0</v>
      </c>
      <c r="K45" s="40">
        <f t="shared" si="20"/>
        <v>35136199</v>
      </c>
      <c r="L45" s="68">
        <f t="shared" si="20"/>
        <v>14.453991926140286</v>
      </c>
      <c r="M45" s="40">
        <f t="shared" si="20"/>
        <v>0</v>
      </c>
      <c r="N45" s="68">
        <f t="shared" si="20"/>
        <v>14.453991926140286</v>
      </c>
      <c r="O45" s="40">
        <f t="shared" si="20"/>
        <v>0</v>
      </c>
      <c r="P45" s="40">
        <f t="shared" si="20"/>
        <v>0</v>
      </c>
      <c r="Q45" s="40">
        <f t="shared" si="20"/>
        <v>0</v>
      </c>
      <c r="R45" s="40">
        <f t="shared" si="20"/>
        <v>0</v>
      </c>
      <c r="S45" s="40">
        <f t="shared" si="20"/>
        <v>35136199</v>
      </c>
      <c r="T45" s="40">
        <f t="shared" si="20"/>
        <v>0</v>
      </c>
      <c r="U45" s="40">
        <f t="shared" si="20"/>
        <v>0</v>
      </c>
      <c r="V45" s="40">
        <f t="shared" si="20"/>
        <v>0</v>
      </c>
    </row>
    <row r="46" spans="1:22" s="14" customFormat="1" x14ac:dyDescent="0.35">
      <c r="A46" s="32" t="s">
        <v>94</v>
      </c>
      <c r="B46" s="30" t="s">
        <v>95</v>
      </c>
      <c r="C46" s="40">
        <f>SUM(C47:C49)</f>
        <v>3</v>
      </c>
      <c r="D46" s="40">
        <f>D47+D48+D49</f>
        <v>31422089</v>
      </c>
      <c r="E46" s="40">
        <f>SUM(E47:E51)</f>
        <v>0</v>
      </c>
      <c r="F46" s="40">
        <f>SUM(F47:F51)</f>
        <v>0</v>
      </c>
      <c r="G46" s="40">
        <f>G47++G48+G49</f>
        <v>31422089</v>
      </c>
      <c r="H46" s="67">
        <f>SUM(H47+H48+H49)</f>
        <v>12.926117042667634</v>
      </c>
      <c r="I46" s="40">
        <f>I47+I48+I49</f>
        <v>31422089</v>
      </c>
      <c r="J46" s="40">
        <f t="shared" ref="J46" si="21">SUM(J47:J51)</f>
        <v>0</v>
      </c>
      <c r="K46" s="40">
        <f>K47+K48+K49</f>
        <v>31422089</v>
      </c>
      <c r="L46" s="67">
        <f>SUM(L47+L48+L49)</f>
        <v>12.926117042667634</v>
      </c>
      <c r="M46" s="69"/>
      <c r="N46" s="68">
        <f>N47+N48+N49</f>
        <v>12.926117042667634</v>
      </c>
      <c r="O46" s="68">
        <f t="shared" ref="O46:P46" si="22">SUM(O47:O51)</f>
        <v>0</v>
      </c>
      <c r="P46" s="40">
        <f t="shared" si="22"/>
        <v>0</v>
      </c>
      <c r="Q46" s="70">
        <v>0</v>
      </c>
      <c r="R46" s="46">
        <f t="shared" si="2"/>
        <v>0</v>
      </c>
      <c r="S46" s="40">
        <f>SUM(S47:S49)</f>
        <v>31422089</v>
      </c>
      <c r="T46" s="39"/>
      <c r="U46" s="39"/>
      <c r="V46" s="39"/>
    </row>
    <row r="47" spans="1:22" x14ac:dyDescent="0.35">
      <c r="A47" s="71"/>
      <c r="B47" s="72" t="s">
        <v>215</v>
      </c>
      <c r="C47" s="51">
        <v>1</v>
      </c>
      <c r="D47" s="51">
        <v>26995200</v>
      </c>
      <c r="E47" s="53">
        <v>0</v>
      </c>
      <c r="F47" s="53">
        <v>0</v>
      </c>
      <c r="G47" s="51">
        <f t="shared" ref="G47:G48" si="23">D47</f>
        <v>26995200</v>
      </c>
      <c r="H47" s="73">
        <f>G47/243089931*100</f>
        <v>11.105025983161761</v>
      </c>
      <c r="I47" s="51">
        <f t="shared" ref="I47:I49" si="24">G47</f>
        <v>26995200</v>
      </c>
      <c r="J47" s="53">
        <v>0</v>
      </c>
      <c r="K47" s="51">
        <f t="shared" ref="K47:K49" si="25">I47</f>
        <v>26995200</v>
      </c>
      <c r="L47" s="73">
        <f>K47/243089931*100</f>
        <v>11.105025983161761</v>
      </c>
      <c r="M47" s="66"/>
      <c r="N47" s="56">
        <f>K47/243089931*100</f>
        <v>11.105025983161761</v>
      </c>
      <c r="O47" s="53">
        <v>0</v>
      </c>
      <c r="P47" s="53">
        <v>0</v>
      </c>
      <c r="Q47" s="53">
        <v>0</v>
      </c>
      <c r="R47" s="46">
        <f t="shared" si="2"/>
        <v>0</v>
      </c>
      <c r="S47" s="59">
        <f t="shared" ref="S47" si="26">K47</f>
        <v>26995200</v>
      </c>
      <c r="T47" s="60"/>
      <c r="U47" s="60"/>
      <c r="V47" s="60"/>
    </row>
    <row r="48" spans="1:22" x14ac:dyDescent="0.35">
      <c r="A48" s="71"/>
      <c r="B48" s="72" t="s">
        <v>216</v>
      </c>
      <c r="C48" s="51">
        <v>1</v>
      </c>
      <c r="D48" s="51">
        <v>4026889</v>
      </c>
      <c r="E48" s="53">
        <v>0</v>
      </c>
      <c r="F48" s="53">
        <v>0</v>
      </c>
      <c r="G48" s="51">
        <f t="shared" si="23"/>
        <v>4026889</v>
      </c>
      <c r="H48" s="73">
        <f>G48/243089931*100</f>
        <v>1.6565429030460335</v>
      </c>
      <c r="I48" s="51">
        <f t="shared" si="24"/>
        <v>4026889</v>
      </c>
      <c r="J48" s="53">
        <v>0</v>
      </c>
      <c r="K48" s="51">
        <f t="shared" si="25"/>
        <v>4026889</v>
      </c>
      <c r="L48" s="73">
        <f>K48/243089931*100</f>
        <v>1.6565429030460335</v>
      </c>
      <c r="M48" s="66"/>
      <c r="N48" s="56">
        <f>K48/243089931*100</f>
        <v>1.6565429030460335</v>
      </c>
      <c r="O48" s="53">
        <v>0</v>
      </c>
      <c r="P48" s="53">
        <v>0</v>
      </c>
      <c r="Q48" s="53">
        <v>0</v>
      </c>
      <c r="R48" s="46">
        <f t="shared" ref="R48" si="27">Q48/G48%</f>
        <v>0</v>
      </c>
      <c r="S48" s="74">
        <f>K48</f>
        <v>4026889</v>
      </c>
      <c r="T48" s="60"/>
      <c r="U48" s="60"/>
      <c r="V48" s="60"/>
    </row>
    <row r="49" spans="1:22" ht="25.5" customHeight="1" x14ac:dyDescent="0.35">
      <c r="A49" s="71"/>
      <c r="B49" s="72" t="s">
        <v>187</v>
      </c>
      <c r="C49" s="51">
        <v>1</v>
      </c>
      <c r="D49" s="51">
        <v>400000</v>
      </c>
      <c r="E49" s="53">
        <v>0</v>
      </c>
      <c r="F49" s="53">
        <v>0</v>
      </c>
      <c r="G49" s="57">
        <v>400000</v>
      </c>
      <c r="H49" s="73">
        <f>G49/243089931*100</f>
        <v>0.16454815645984119</v>
      </c>
      <c r="I49" s="51">
        <f t="shared" si="24"/>
        <v>400000</v>
      </c>
      <c r="J49" s="53">
        <v>0</v>
      </c>
      <c r="K49" s="51">
        <f t="shared" si="25"/>
        <v>400000</v>
      </c>
      <c r="L49" s="73">
        <f>K49/243089931*100</f>
        <v>0.16454815645984119</v>
      </c>
      <c r="M49" s="66"/>
      <c r="N49" s="56">
        <f>K49/243089931*100</f>
        <v>0.16454815645984119</v>
      </c>
      <c r="O49" s="53">
        <v>0</v>
      </c>
      <c r="P49" s="53">
        <v>0</v>
      </c>
      <c r="Q49" s="53">
        <v>0</v>
      </c>
      <c r="R49" s="46">
        <f t="shared" si="2"/>
        <v>0</v>
      </c>
      <c r="S49" s="74">
        <f>K49</f>
        <v>400000</v>
      </c>
      <c r="T49" s="60"/>
      <c r="U49" s="60"/>
      <c r="V49" s="60"/>
    </row>
    <row r="50" spans="1:22" s="14" customFormat="1" x14ac:dyDescent="0.35">
      <c r="A50" s="32" t="s">
        <v>96</v>
      </c>
      <c r="B50" s="75" t="s">
        <v>132</v>
      </c>
      <c r="C50" s="40">
        <f>SUM(C51:C52)</f>
        <v>2</v>
      </c>
      <c r="D50" s="40">
        <f>D51+D52</f>
        <v>315624</v>
      </c>
      <c r="E50" s="40">
        <f>SUM(E51:E55)</f>
        <v>0</v>
      </c>
      <c r="F50" s="40">
        <f>SUM(F51:F55)</f>
        <v>0</v>
      </c>
      <c r="G50" s="40">
        <f>G51++G52</f>
        <v>315624</v>
      </c>
      <c r="H50" s="67">
        <f>SUM(H51+H52)</f>
        <v>0.12983836833620227</v>
      </c>
      <c r="I50" s="40">
        <f>I51+I52</f>
        <v>315624</v>
      </c>
      <c r="J50" s="40">
        <f t="shared" ref="J50" si="28">SUM(J51:J55)</f>
        <v>0</v>
      </c>
      <c r="K50" s="40">
        <f>K51+K52</f>
        <v>315624</v>
      </c>
      <c r="L50" s="67">
        <f>SUM(L51+L52)</f>
        <v>0.12983836833620227</v>
      </c>
      <c r="M50" s="69"/>
      <c r="N50" s="68">
        <f>N51+N52</f>
        <v>0.12983836833620227</v>
      </c>
      <c r="O50" s="68">
        <f t="shared" ref="O50:P50" si="29">SUM(O51:O55)</f>
        <v>0</v>
      </c>
      <c r="P50" s="40">
        <f t="shared" si="29"/>
        <v>0</v>
      </c>
      <c r="Q50" s="70">
        <v>0</v>
      </c>
      <c r="R50" s="46">
        <f t="shared" ref="R50" si="30">Q50/G50%</f>
        <v>0</v>
      </c>
      <c r="S50" s="40">
        <f>SUM(S51:S52)</f>
        <v>315624</v>
      </c>
      <c r="T50" s="39"/>
      <c r="U50" s="39"/>
      <c r="V50" s="39"/>
    </row>
    <row r="51" spans="1:22" x14ac:dyDescent="0.35">
      <c r="A51" s="71"/>
      <c r="B51" s="72" t="s">
        <v>119</v>
      </c>
      <c r="C51" s="51">
        <v>1</v>
      </c>
      <c r="D51" s="51">
        <v>290624</v>
      </c>
      <c r="E51" s="53">
        <v>0</v>
      </c>
      <c r="F51" s="53">
        <v>0</v>
      </c>
      <c r="G51" s="51">
        <f t="shared" ref="G51" si="31">D51</f>
        <v>290624</v>
      </c>
      <c r="H51" s="73">
        <f>G51/243089931*100</f>
        <v>0.11955410855746221</v>
      </c>
      <c r="I51" s="51">
        <f t="shared" ref="I51" si="32">G51</f>
        <v>290624</v>
      </c>
      <c r="J51" s="53">
        <v>0</v>
      </c>
      <c r="K51" s="51">
        <f t="shared" ref="K51" si="33">I51</f>
        <v>290624</v>
      </c>
      <c r="L51" s="73">
        <f>K51/243089931*100</f>
        <v>0.11955410855746221</v>
      </c>
      <c r="M51" s="66"/>
      <c r="N51" s="56">
        <f>K51/243089931*100</f>
        <v>0.11955410855746221</v>
      </c>
      <c r="O51" s="53">
        <v>0</v>
      </c>
      <c r="P51" s="53">
        <v>0</v>
      </c>
      <c r="Q51" s="53">
        <v>0</v>
      </c>
      <c r="R51" s="46">
        <f t="shared" si="2"/>
        <v>0</v>
      </c>
      <c r="S51" s="59">
        <f t="shared" ref="S51" si="34">K51</f>
        <v>290624</v>
      </c>
      <c r="T51" s="60"/>
      <c r="U51" s="60"/>
      <c r="V51" s="60"/>
    </row>
    <row r="52" spans="1:22" x14ac:dyDescent="0.35">
      <c r="A52" s="71"/>
      <c r="B52" s="72" t="s">
        <v>234</v>
      </c>
      <c r="C52" s="51">
        <v>1</v>
      </c>
      <c r="D52" s="51">
        <v>25000</v>
      </c>
      <c r="E52" s="53">
        <v>0</v>
      </c>
      <c r="F52" s="53">
        <v>0</v>
      </c>
      <c r="G52" s="51">
        <f t="shared" ref="G52" si="35">D52</f>
        <v>25000</v>
      </c>
      <c r="H52" s="73">
        <f>G52/243089931*100</f>
        <v>1.0284259778740075E-2</v>
      </c>
      <c r="I52" s="51">
        <f t="shared" ref="I52" si="36">G52</f>
        <v>25000</v>
      </c>
      <c r="J52" s="53">
        <v>0</v>
      </c>
      <c r="K52" s="51">
        <f t="shared" ref="K52" si="37">I52</f>
        <v>25000</v>
      </c>
      <c r="L52" s="73">
        <f>K52/243089931*100</f>
        <v>1.0284259778740075E-2</v>
      </c>
      <c r="M52" s="66"/>
      <c r="N52" s="56">
        <f>K52/243089931*100</f>
        <v>1.0284259778740075E-2</v>
      </c>
      <c r="O52" s="53">
        <v>0</v>
      </c>
      <c r="P52" s="53">
        <v>0</v>
      </c>
      <c r="Q52" s="53">
        <v>0</v>
      </c>
      <c r="R52" s="46">
        <f t="shared" ref="R52" si="38">Q52/G52%</f>
        <v>0</v>
      </c>
      <c r="S52" s="59">
        <f t="shared" ref="S52" si="39">K52</f>
        <v>25000</v>
      </c>
      <c r="T52" s="60"/>
      <c r="U52" s="60"/>
      <c r="V52" s="60"/>
    </row>
    <row r="53" spans="1:22" s="14" customFormat="1" x14ac:dyDescent="0.35">
      <c r="A53" s="32" t="s">
        <v>190</v>
      </c>
      <c r="B53" s="30" t="s">
        <v>97</v>
      </c>
      <c r="C53" s="40">
        <f>C54+C55</f>
        <v>2</v>
      </c>
      <c r="D53" s="40">
        <f>D54+D55</f>
        <v>3398486</v>
      </c>
      <c r="E53" s="40">
        <f t="shared" ref="E53:F53" si="40">E55</f>
        <v>0</v>
      </c>
      <c r="F53" s="40">
        <f t="shared" si="40"/>
        <v>0</v>
      </c>
      <c r="G53" s="40">
        <f>G54+G55</f>
        <v>3398486</v>
      </c>
      <c r="H53" s="67">
        <f>H54+H55</f>
        <v>1.3980365151364496</v>
      </c>
      <c r="I53" s="40">
        <f>I54+I55</f>
        <v>3398486</v>
      </c>
      <c r="J53" s="40">
        <f>J55</f>
        <v>0</v>
      </c>
      <c r="K53" s="40">
        <f>K54+K55</f>
        <v>3398486</v>
      </c>
      <c r="L53" s="67">
        <f>L54+L55</f>
        <v>1.3980365151364496</v>
      </c>
      <c r="M53" s="69"/>
      <c r="N53" s="68">
        <f>N54+N55</f>
        <v>1.3980365151364496</v>
      </c>
      <c r="O53" s="68">
        <f t="shared" ref="O53:P53" si="41">O55</f>
        <v>0</v>
      </c>
      <c r="P53" s="40">
        <f t="shared" si="41"/>
        <v>0</v>
      </c>
      <c r="Q53" s="40">
        <v>0</v>
      </c>
      <c r="R53" s="46">
        <f t="shared" si="2"/>
        <v>0</v>
      </c>
      <c r="S53" s="40">
        <f>S54+S55</f>
        <v>3398486</v>
      </c>
      <c r="T53" s="39"/>
      <c r="U53" s="39"/>
      <c r="V53" s="39"/>
    </row>
    <row r="54" spans="1:22" s="14" customFormat="1" x14ac:dyDescent="0.35">
      <c r="A54" s="32"/>
      <c r="B54" s="77" t="s">
        <v>224</v>
      </c>
      <c r="C54" s="40">
        <v>1</v>
      </c>
      <c r="D54" s="59">
        <v>65000</v>
      </c>
      <c r="E54" s="40"/>
      <c r="F54" s="40"/>
      <c r="G54" s="51">
        <f t="shared" ref="G54:G55" si="42">D54</f>
        <v>65000</v>
      </c>
      <c r="H54" s="78">
        <f>G54/243089931*100</f>
        <v>2.6739075424724191E-2</v>
      </c>
      <c r="I54" s="51">
        <f t="shared" ref="I54:I55" si="43">G54</f>
        <v>65000</v>
      </c>
      <c r="J54" s="40">
        <v>0</v>
      </c>
      <c r="K54" s="51">
        <f t="shared" ref="K54:K55" si="44">I54</f>
        <v>65000</v>
      </c>
      <c r="L54" s="78">
        <f>K54/243089931*100</f>
        <v>2.6739075424724191E-2</v>
      </c>
      <c r="M54" s="69"/>
      <c r="N54" s="68">
        <f>K54/243089931*100</f>
        <v>2.6739075424724191E-2</v>
      </c>
      <c r="O54" s="68"/>
      <c r="P54" s="40"/>
      <c r="Q54" s="40"/>
      <c r="R54" s="46"/>
      <c r="S54" s="59">
        <f t="shared" ref="S54:S55" si="45">K54</f>
        <v>65000</v>
      </c>
      <c r="T54" s="39"/>
      <c r="U54" s="39"/>
      <c r="V54" s="39"/>
    </row>
    <row r="55" spans="1:22" x14ac:dyDescent="0.35">
      <c r="A55" s="71"/>
      <c r="B55" s="72" t="s">
        <v>217</v>
      </c>
      <c r="C55" s="51">
        <v>1</v>
      </c>
      <c r="D55" s="51">
        <v>3333486</v>
      </c>
      <c r="E55" s="53">
        <v>0</v>
      </c>
      <c r="F55" s="53">
        <v>0</v>
      </c>
      <c r="G55" s="51">
        <f t="shared" si="42"/>
        <v>3333486</v>
      </c>
      <c r="H55" s="78">
        <f>G55/243089931*100</f>
        <v>1.3712974397117255</v>
      </c>
      <c r="I55" s="51">
        <f t="shared" si="43"/>
        <v>3333486</v>
      </c>
      <c r="J55" s="66">
        <v>0</v>
      </c>
      <c r="K55" s="51">
        <f t="shared" si="44"/>
        <v>3333486</v>
      </c>
      <c r="L55" s="78">
        <f>K55/243089931*100</f>
        <v>1.3712974397117255</v>
      </c>
      <c r="M55" s="66"/>
      <c r="N55" s="79">
        <f>K55/243089931*100</f>
        <v>1.3712974397117255</v>
      </c>
      <c r="O55" s="66">
        <v>0</v>
      </c>
      <c r="P55" s="66">
        <v>0</v>
      </c>
      <c r="Q55" s="66">
        <v>0</v>
      </c>
      <c r="R55" s="46">
        <f t="shared" si="2"/>
        <v>0</v>
      </c>
      <c r="S55" s="59">
        <f t="shared" si="45"/>
        <v>3333486</v>
      </c>
      <c r="T55" s="60"/>
      <c r="U55" s="60"/>
      <c r="V55" s="60"/>
    </row>
    <row r="56" spans="1:22" s="14" customFormat="1" x14ac:dyDescent="0.35">
      <c r="A56" s="32"/>
      <c r="B56" s="30" t="s">
        <v>98</v>
      </c>
      <c r="C56" s="40">
        <f t="shared" ref="C56:S56" si="46">SUM(C9,C43,C44,C45)</f>
        <v>40</v>
      </c>
      <c r="D56" s="40">
        <f t="shared" si="46"/>
        <v>74070145</v>
      </c>
      <c r="E56" s="40">
        <f t="shared" si="46"/>
        <v>0</v>
      </c>
      <c r="F56" s="40">
        <f t="shared" si="46"/>
        <v>0</v>
      </c>
      <c r="G56" s="40">
        <f t="shared" si="46"/>
        <v>74070145</v>
      </c>
      <c r="H56" s="68">
        <f t="shared" si="46"/>
        <v>30.470264521157809</v>
      </c>
      <c r="I56" s="40">
        <f t="shared" si="46"/>
        <v>74070145</v>
      </c>
      <c r="J56" s="40">
        <f t="shared" si="46"/>
        <v>0</v>
      </c>
      <c r="K56" s="40">
        <f t="shared" si="46"/>
        <v>74070145</v>
      </c>
      <c r="L56" s="68">
        <f t="shared" si="46"/>
        <v>30.470264521157809</v>
      </c>
      <c r="M56" s="40">
        <f t="shared" si="46"/>
        <v>0</v>
      </c>
      <c r="N56" s="68">
        <f t="shared" si="46"/>
        <v>30.470264521157809</v>
      </c>
      <c r="O56" s="40">
        <f t="shared" si="46"/>
        <v>0</v>
      </c>
      <c r="P56" s="40">
        <f t="shared" si="46"/>
        <v>0</v>
      </c>
      <c r="Q56" s="40">
        <f t="shared" si="46"/>
        <v>4600000</v>
      </c>
      <c r="R56" s="68">
        <f t="shared" si="46"/>
        <v>11.814882570597904</v>
      </c>
      <c r="S56" s="40">
        <f t="shared" si="46"/>
        <v>74069771</v>
      </c>
      <c r="T56" s="39"/>
      <c r="U56" s="39"/>
      <c r="V56" s="39"/>
    </row>
    <row r="57" spans="1:22" x14ac:dyDescent="0.35">
      <c r="A57" s="32">
        <v>2</v>
      </c>
      <c r="B57" s="30" t="s">
        <v>99</v>
      </c>
      <c r="C57" s="59"/>
      <c r="D57" s="51"/>
      <c r="E57" s="53"/>
      <c r="F57" s="53"/>
      <c r="G57" s="59"/>
      <c r="H57" s="78"/>
      <c r="I57" s="59"/>
      <c r="J57" s="66"/>
      <c r="K57" s="59"/>
      <c r="L57" s="78"/>
      <c r="M57" s="66"/>
      <c r="N57" s="79"/>
      <c r="O57" s="66"/>
      <c r="P57" s="66"/>
      <c r="Q57" s="66">
        <v>0</v>
      </c>
      <c r="R57" s="46"/>
      <c r="S57" s="59"/>
      <c r="T57" s="60"/>
      <c r="U57" s="60"/>
      <c r="V57" s="60"/>
    </row>
    <row r="58" spans="1:22" s="14" customFormat="1" ht="26" x14ac:dyDescent="0.35">
      <c r="A58" s="32" t="s">
        <v>51</v>
      </c>
      <c r="B58" s="30" t="s">
        <v>100</v>
      </c>
      <c r="C58" s="40">
        <f>SUM(C59:C63)</f>
        <v>5</v>
      </c>
      <c r="D58" s="40">
        <f>SUM(D59:D63)</f>
        <v>3436000</v>
      </c>
      <c r="E58" s="40">
        <f>SUM(E59:E62)</f>
        <v>0</v>
      </c>
      <c r="F58" s="40">
        <f>SUM(F59:F62)</f>
        <v>0</v>
      </c>
      <c r="G58" s="40">
        <f>SUM(G59:G63)</f>
        <v>3436000</v>
      </c>
      <c r="H58" s="67">
        <f>SUM(H59:H63)</f>
        <v>1.413468663990036</v>
      </c>
      <c r="I58" s="40">
        <f>SUM(I59:I63)</f>
        <v>3436000</v>
      </c>
      <c r="J58" s="40">
        <f>SUM(J59:J62)</f>
        <v>0</v>
      </c>
      <c r="K58" s="40">
        <f>SUM(K59:K63)</f>
        <v>3436000</v>
      </c>
      <c r="L58" s="67">
        <f>SUM(L59:L63)</f>
        <v>1.413468663990036</v>
      </c>
      <c r="M58" s="69"/>
      <c r="N58" s="68">
        <f>SUM(N59:N63)</f>
        <v>1.413468663990036</v>
      </c>
      <c r="O58" s="40">
        <f>SUM(O59:O62)</f>
        <v>0</v>
      </c>
      <c r="P58" s="40">
        <f>SUM(P59:P62)</f>
        <v>0</v>
      </c>
      <c r="Q58" s="40">
        <f>SUM(Q59:Q62)</f>
        <v>0</v>
      </c>
      <c r="R58" s="46">
        <f t="shared" si="2"/>
        <v>0</v>
      </c>
      <c r="S58" s="40">
        <f>SUM(S59:S63)</f>
        <v>3436000</v>
      </c>
      <c r="T58" s="39"/>
      <c r="U58" s="39"/>
      <c r="V58" s="39"/>
    </row>
    <row r="59" spans="1:22" x14ac:dyDescent="0.35">
      <c r="A59" s="71"/>
      <c r="B59" s="77" t="s">
        <v>218</v>
      </c>
      <c r="C59" s="59">
        <v>1</v>
      </c>
      <c r="D59" s="51">
        <v>96000</v>
      </c>
      <c r="E59" s="53">
        <v>0</v>
      </c>
      <c r="F59" s="52">
        <v>0</v>
      </c>
      <c r="G59" s="51">
        <f t="shared" ref="G59:G62" si="47">D59</f>
        <v>96000</v>
      </c>
      <c r="H59" s="78">
        <f>96000/243089931*100</f>
        <v>3.9491557550361885E-2</v>
      </c>
      <c r="I59" s="51">
        <f t="shared" ref="I59:I63" si="48">G59</f>
        <v>96000</v>
      </c>
      <c r="J59" s="66">
        <v>0</v>
      </c>
      <c r="K59" s="51">
        <f t="shared" ref="K59:K63" si="49">I59</f>
        <v>96000</v>
      </c>
      <c r="L59" s="78">
        <f>96000/243089931*100</f>
        <v>3.9491557550361885E-2</v>
      </c>
      <c r="M59" s="66"/>
      <c r="N59" s="79">
        <f>SUM(96000/243089931*100)</f>
        <v>3.9491557550361885E-2</v>
      </c>
      <c r="O59" s="66">
        <v>0</v>
      </c>
      <c r="P59" s="66">
        <v>0</v>
      </c>
      <c r="Q59" s="66">
        <v>0</v>
      </c>
      <c r="R59" s="46">
        <f t="shared" si="2"/>
        <v>0</v>
      </c>
      <c r="S59" s="59">
        <f t="shared" ref="S59:S63" si="50">K59</f>
        <v>96000</v>
      </c>
      <c r="T59" s="60"/>
      <c r="U59" s="60"/>
      <c r="V59" s="60"/>
    </row>
    <row r="60" spans="1:22" x14ac:dyDescent="0.35">
      <c r="A60" s="71"/>
      <c r="B60" s="77" t="s">
        <v>219</v>
      </c>
      <c r="C60" s="59">
        <v>1</v>
      </c>
      <c r="D60" s="59">
        <f>80000+80000</f>
        <v>160000</v>
      </c>
      <c r="E60" s="53">
        <v>0</v>
      </c>
      <c r="F60" s="52">
        <v>0</v>
      </c>
      <c r="G60" s="51">
        <f t="shared" si="47"/>
        <v>160000</v>
      </c>
      <c r="H60" s="78">
        <f>SUM(160000/243089931*100)</f>
        <v>6.5819262583936472E-2</v>
      </c>
      <c r="I60" s="51">
        <f t="shared" si="48"/>
        <v>160000</v>
      </c>
      <c r="J60" s="66">
        <v>0</v>
      </c>
      <c r="K60" s="51">
        <f t="shared" si="49"/>
        <v>160000</v>
      </c>
      <c r="L60" s="78">
        <f>SUM(160000/243089931*100)</f>
        <v>6.5819262583936472E-2</v>
      </c>
      <c r="M60" s="66"/>
      <c r="N60" s="79">
        <f>SUM(160000/243089931*100)</f>
        <v>6.5819262583936472E-2</v>
      </c>
      <c r="O60" s="66">
        <v>0</v>
      </c>
      <c r="P60" s="66">
        <v>0</v>
      </c>
      <c r="Q60" s="66">
        <v>0</v>
      </c>
      <c r="R60" s="46">
        <f t="shared" si="2"/>
        <v>0</v>
      </c>
      <c r="S60" s="59">
        <f t="shared" si="50"/>
        <v>160000</v>
      </c>
      <c r="T60" s="60"/>
      <c r="U60" s="60"/>
      <c r="V60" s="60"/>
    </row>
    <row r="61" spans="1:22" x14ac:dyDescent="0.35">
      <c r="A61" s="71"/>
      <c r="B61" s="77" t="s">
        <v>104</v>
      </c>
      <c r="C61" s="59">
        <v>1</v>
      </c>
      <c r="D61" s="51">
        <v>1550000</v>
      </c>
      <c r="E61" s="53">
        <v>0</v>
      </c>
      <c r="F61" s="52">
        <v>0</v>
      </c>
      <c r="G61" s="51">
        <f t="shared" si="47"/>
        <v>1550000</v>
      </c>
      <c r="H61" s="78">
        <f>SUM(1550000/243089931*100)</f>
        <v>0.6376241062818846</v>
      </c>
      <c r="I61" s="51">
        <f t="shared" si="48"/>
        <v>1550000</v>
      </c>
      <c r="J61" s="66">
        <v>0</v>
      </c>
      <c r="K61" s="51">
        <f t="shared" si="49"/>
        <v>1550000</v>
      </c>
      <c r="L61" s="78">
        <f>SUM(1550000/243089931*100)</f>
        <v>0.6376241062818846</v>
      </c>
      <c r="M61" s="66"/>
      <c r="N61" s="79">
        <f>SUM(1550000/243089931*100)</f>
        <v>0.6376241062818846</v>
      </c>
      <c r="O61" s="66">
        <v>0</v>
      </c>
      <c r="P61" s="66">
        <v>0</v>
      </c>
      <c r="Q61" s="66">
        <v>0</v>
      </c>
      <c r="R61" s="46">
        <f t="shared" si="2"/>
        <v>0</v>
      </c>
      <c r="S61" s="59">
        <f t="shared" si="50"/>
        <v>1550000</v>
      </c>
      <c r="T61" s="60"/>
      <c r="U61" s="60"/>
      <c r="V61" s="60"/>
    </row>
    <row r="62" spans="1:22" ht="15" customHeight="1" x14ac:dyDescent="0.35">
      <c r="A62" s="71"/>
      <c r="B62" s="77" t="s">
        <v>120</v>
      </c>
      <c r="C62" s="59">
        <v>1</v>
      </c>
      <c r="D62" s="51">
        <v>1550000</v>
      </c>
      <c r="E62" s="53">
        <v>0</v>
      </c>
      <c r="F62" s="52">
        <v>0</v>
      </c>
      <c r="G62" s="51">
        <f t="shared" si="47"/>
        <v>1550000</v>
      </c>
      <c r="H62" s="78">
        <f>SUM(1550000/243089931*100)</f>
        <v>0.6376241062818846</v>
      </c>
      <c r="I62" s="51">
        <f t="shared" si="48"/>
        <v>1550000</v>
      </c>
      <c r="J62" s="80">
        <v>0</v>
      </c>
      <c r="K62" s="51">
        <f t="shared" si="49"/>
        <v>1550000</v>
      </c>
      <c r="L62" s="78">
        <f>SUM(1550000/243089931*100)</f>
        <v>0.6376241062818846</v>
      </c>
      <c r="M62" s="80"/>
      <c r="N62" s="79">
        <f>SUM(1550000/243089931*100)</f>
        <v>0.6376241062818846</v>
      </c>
      <c r="O62" s="80">
        <v>0</v>
      </c>
      <c r="P62" s="80">
        <v>0</v>
      </c>
      <c r="Q62" s="80">
        <v>0</v>
      </c>
      <c r="R62" s="46">
        <f t="shared" si="2"/>
        <v>0</v>
      </c>
      <c r="S62" s="59">
        <f t="shared" si="50"/>
        <v>1550000</v>
      </c>
      <c r="T62" s="60"/>
      <c r="U62" s="60"/>
      <c r="V62" s="60"/>
    </row>
    <row r="63" spans="1:22" ht="15" customHeight="1" x14ac:dyDescent="0.35">
      <c r="A63" s="71"/>
      <c r="B63" s="77" t="s">
        <v>221</v>
      </c>
      <c r="C63" s="59">
        <v>1</v>
      </c>
      <c r="D63" s="59">
        <v>80000</v>
      </c>
      <c r="E63" s="53">
        <v>0</v>
      </c>
      <c r="F63" s="52">
        <v>0</v>
      </c>
      <c r="G63" s="59">
        <f>D63</f>
        <v>80000</v>
      </c>
      <c r="H63" s="78">
        <f>SUM(80000/243089931*100)</f>
        <v>3.2909631291968236E-2</v>
      </c>
      <c r="I63" s="51">
        <f t="shared" si="48"/>
        <v>80000</v>
      </c>
      <c r="J63" s="66">
        <v>0</v>
      </c>
      <c r="K63" s="51">
        <f t="shared" si="49"/>
        <v>80000</v>
      </c>
      <c r="L63" s="78">
        <f>SUM(80000/243089931*100)</f>
        <v>3.2909631291968236E-2</v>
      </c>
      <c r="M63" s="66"/>
      <c r="N63" s="79">
        <f>SUM(80000/243089931*100)</f>
        <v>3.2909631291968236E-2</v>
      </c>
      <c r="O63" s="66">
        <v>0</v>
      </c>
      <c r="P63" s="66">
        <v>0</v>
      </c>
      <c r="Q63" s="66">
        <v>0</v>
      </c>
      <c r="R63" s="46">
        <f t="shared" ref="R63" si="51">Q63/G63%</f>
        <v>0</v>
      </c>
      <c r="S63" s="59">
        <f t="shared" si="50"/>
        <v>80000</v>
      </c>
      <c r="T63" s="60"/>
      <c r="U63" s="60"/>
      <c r="V63" s="60"/>
    </row>
    <row r="64" spans="1:22" s="14" customFormat="1" x14ac:dyDescent="0.35">
      <c r="A64" s="32" t="s">
        <v>52</v>
      </c>
      <c r="B64" s="30" t="s">
        <v>55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H64" s="67">
        <v>0</v>
      </c>
      <c r="I64" s="40">
        <v>0</v>
      </c>
      <c r="J64" s="40">
        <v>0</v>
      </c>
      <c r="K64" s="40">
        <v>0</v>
      </c>
      <c r="L64" s="67">
        <v>0</v>
      </c>
      <c r="M64" s="40">
        <v>0</v>
      </c>
      <c r="N64" s="68">
        <v>0</v>
      </c>
      <c r="O64" s="40">
        <v>0</v>
      </c>
      <c r="P64" s="40">
        <v>0</v>
      </c>
      <c r="Q64" s="40">
        <v>0</v>
      </c>
      <c r="R64" s="46"/>
      <c r="S64" s="40">
        <v>0</v>
      </c>
      <c r="T64" s="39"/>
      <c r="U64" s="39"/>
      <c r="V64" s="39"/>
    </row>
    <row r="65" spans="1:22" s="14" customFormat="1" x14ac:dyDescent="0.35">
      <c r="A65" s="32" t="s">
        <v>53</v>
      </c>
      <c r="B65" s="30" t="s">
        <v>56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67">
        <v>0</v>
      </c>
      <c r="I65" s="40">
        <v>0</v>
      </c>
      <c r="J65" s="40">
        <v>0</v>
      </c>
      <c r="K65" s="40">
        <v>0</v>
      </c>
      <c r="L65" s="67">
        <v>0</v>
      </c>
      <c r="M65" s="40">
        <v>0</v>
      </c>
      <c r="N65" s="68">
        <v>0</v>
      </c>
      <c r="O65" s="40">
        <v>0</v>
      </c>
      <c r="P65" s="40">
        <v>0</v>
      </c>
      <c r="Q65" s="40">
        <v>0</v>
      </c>
      <c r="R65" s="46"/>
      <c r="S65" s="40">
        <v>0</v>
      </c>
      <c r="T65" s="39"/>
      <c r="U65" s="39"/>
      <c r="V65" s="39"/>
    </row>
    <row r="66" spans="1:22" s="14" customFormat="1" x14ac:dyDescent="0.35">
      <c r="A66" s="32" t="s">
        <v>54</v>
      </c>
      <c r="B66" s="30" t="s">
        <v>57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67">
        <v>0</v>
      </c>
      <c r="I66" s="40">
        <v>0</v>
      </c>
      <c r="J66" s="40">
        <v>0</v>
      </c>
      <c r="K66" s="40">
        <v>0</v>
      </c>
      <c r="L66" s="67">
        <v>0</v>
      </c>
      <c r="M66" s="40">
        <v>0</v>
      </c>
      <c r="N66" s="68">
        <v>0</v>
      </c>
      <c r="O66" s="40">
        <v>0</v>
      </c>
      <c r="P66" s="40">
        <v>0</v>
      </c>
      <c r="Q66" s="40">
        <v>0</v>
      </c>
      <c r="R66" s="46"/>
      <c r="S66" s="40">
        <v>0</v>
      </c>
      <c r="T66" s="39"/>
      <c r="U66" s="39"/>
      <c r="V66" s="39"/>
    </row>
    <row r="67" spans="1:22" s="14" customFormat="1" x14ac:dyDescent="0.35">
      <c r="A67" s="32" t="s">
        <v>58</v>
      </c>
      <c r="B67" s="30" t="s">
        <v>93</v>
      </c>
      <c r="C67" s="40"/>
      <c r="D67" s="76"/>
      <c r="E67" s="81"/>
      <c r="F67" s="81"/>
      <c r="G67" s="40"/>
      <c r="H67" s="67"/>
      <c r="I67" s="40"/>
      <c r="J67" s="69"/>
      <c r="K67" s="40"/>
      <c r="L67" s="67"/>
      <c r="M67" s="69"/>
      <c r="N67" s="68"/>
      <c r="O67" s="69"/>
      <c r="P67" s="69"/>
      <c r="Q67" s="69"/>
      <c r="R67" s="46"/>
      <c r="S67" s="40"/>
      <c r="T67" s="39"/>
      <c r="U67" s="39"/>
      <c r="V67" s="39"/>
    </row>
    <row r="68" spans="1:22" s="14" customFormat="1" x14ac:dyDescent="0.35">
      <c r="A68" s="32" t="s">
        <v>101</v>
      </c>
      <c r="B68" s="30" t="s">
        <v>95</v>
      </c>
      <c r="C68" s="40">
        <f t="shared" ref="C68" si="52">C69</f>
        <v>1</v>
      </c>
      <c r="D68" s="40">
        <f t="shared" ref="D68" si="53">D69</f>
        <v>53990400</v>
      </c>
      <c r="E68" s="40">
        <f t="shared" ref="E68:G68" si="54">E69</f>
        <v>0</v>
      </c>
      <c r="F68" s="40">
        <f t="shared" si="54"/>
        <v>0</v>
      </c>
      <c r="G68" s="40">
        <f t="shared" si="54"/>
        <v>53990400</v>
      </c>
      <c r="H68" s="67">
        <v>22.21</v>
      </c>
      <c r="I68" s="40">
        <f>I69</f>
        <v>53990400</v>
      </c>
      <c r="J68" s="40" t="str">
        <f>J69</f>
        <v>-</v>
      </c>
      <c r="K68" s="40">
        <f t="shared" ref="K68:N68" si="55">K69</f>
        <v>53990400</v>
      </c>
      <c r="L68" s="67">
        <f t="shared" si="55"/>
        <v>22.210051966323523</v>
      </c>
      <c r="M68" s="69"/>
      <c r="N68" s="68">
        <f t="shared" si="55"/>
        <v>22.210051966323523</v>
      </c>
      <c r="O68" s="40"/>
      <c r="P68" s="40">
        <v>0</v>
      </c>
      <c r="Q68" s="40">
        <v>0</v>
      </c>
      <c r="R68" s="46">
        <f t="shared" si="2"/>
        <v>0</v>
      </c>
      <c r="S68" s="40">
        <f t="shared" ref="S68" si="56">S69</f>
        <v>53990400</v>
      </c>
      <c r="T68" s="39"/>
      <c r="U68" s="39"/>
      <c r="V68" s="39"/>
    </row>
    <row r="69" spans="1:22" x14ac:dyDescent="0.35">
      <c r="A69" s="71"/>
      <c r="B69" s="77" t="s">
        <v>220</v>
      </c>
      <c r="C69" s="59">
        <v>1</v>
      </c>
      <c r="D69" s="51">
        <v>53990400</v>
      </c>
      <c r="E69" s="53">
        <v>0</v>
      </c>
      <c r="F69" s="53">
        <v>0</v>
      </c>
      <c r="G69" s="51">
        <f t="shared" ref="G69" si="57">D69</f>
        <v>53990400</v>
      </c>
      <c r="H69" s="82">
        <f>SUM(53990400/243089931*100)</f>
        <v>22.210051966323523</v>
      </c>
      <c r="I69" s="51">
        <f t="shared" ref="I69" si="58">G69</f>
        <v>53990400</v>
      </c>
      <c r="J69" s="83" t="s">
        <v>127</v>
      </c>
      <c r="K69" s="51">
        <f t="shared" ref="K69" si="59">I69</f>
        <v>53990400</v>
      </c>
      <c r="L69" s="78">
        <f>K69/243089931*100</f>
        <v>22.210051966323523</v>
      </c>
      <c r="M69" s="66"/>
      <c r="N69" s="79">
        <f>K69/243089931*100</f>
        <v>22.210051966323523</v>
      </c>
      <c r="O69" s="40"/>
      <c r="P69" s="40">
        <v>0</v>
      </c>
      <c r="Q69" s="40">
        <v>0</v>
      </c>
      <c r="R69" s="46">
        <f t="shared" si="2"/>
        <v>0</v>
      </c>
      <c r="S69" s="59">
        <f t="shared" ref="S69" si="60">K69</f>
        <v>53990400</v>
      </c>
      <c r="T69" s="60"/>
      <c r="U69" s="60"/>
      <c r="V69" s="60"/>
    </row>
    <row r="70" spans="1:22" s="14" customFormat="1" x14ac:dyDescent="0.35">
      <c r="A70" s="32"/>
      <c r="B70" s="30" t="s">
        <v>102</v>
      </c>
      <c r="C70" s="40">
        <f t="shared" ref="C70:L70" si="61">SUM(C68,C66,C65,C64,C58)</f>
        <v>6</v>
      </c>
      <c r="D70" s="40">
        <f t="shared" si="61"/>
        <v>57426400</v>
      </c>
      <c r="E70" s="40">
        <f t="shared" si="61"/>
        <v>0</v>
      </c>
      <c r="F70" s="40">
        <f t="shared" si="61"/>
        <v>0</v>
      </c>
      <c r="G70" s="40">
        <f t="shared" si="61"/>
        <v>57426400</v>
      </c>
      <c r="H70" s="67">
        <f t="shared" si="61"/>
        <v>23.623468663990035</v>
      </c>
      <c r="I70" s="40">
        <f t="shared" si="61"/>
        <v>57426400</v>
      </c>
      <c r="J70" s="40">
        <f t="shared" si="61"/>
        <v>0</v>
      </c>
      <c r="K70" s="40">
        <f t="shared" si="61"/>
        <v>57426400</v>
      </c>
      <c r="L70" s="67">
        <f t="shared" si="61"/>
        <v>23.623520630313557</v>
      </c>
      <c r="M70" s="69"/>
      <c r="N70" s="68">
        <f>SUM(N68,N66,N65,N64,N58)</f>
        <v>23.623520630313557</v>
      </c>
      <c r="O70" s="40"/>
      <c r="P70" s="40">
        <v>0</v>
      </c>
      <c r="Q70" s="40">
        <v>0</v>
      </c>
      <c r="R70" s="46">
        <f t="shared" si="2"/>
        <v>0</v>
      </c>
      <c r="S70" s="40">
        <f>SUM(S68,S66,S65,S64,S58)</f>
        <v>57426400</v>
      </c>
      <c r="T70" s="39"/>
      <c r="U70" s="39"/>
      <c r="V70" s="39"/>
    </row>
    <row r="71" spans="1:22" s="14" customFormat="1" ht="26" x14ac:dyDescent="0.35">
      <c r="A71" s="32"/>
      <c r="B71" s="30" t="s">
        <v>103</v>
      </c>
      <c r="C71" s="40">
        <f t="shared" ref="C71:L71" si="62">C70+C56</f>
        <v>46</v>
      </c>
      <c r="D71" s="40">
        <f t="shared" si="62"/>
        <v>131496545</v>
      </c>
      <c r="E71" s="40">
        <f t="shared" si="62"/>
        <v>0</v>
      </c>
      <c r="F71" s="40">
        <f t="shared" si="62"/>
        <v>0</v>
      </c>
      <c r="G71" s="40">
        <f t="shared" si="62"/>
        <v>131496545</v>
      </c>
      <c r="H71" s="67">
        <f t="shared" si="62"/>
        <v>54.09373318514784</v>
      </c>
      <c r="I71" s="40">
        <f t="shared" si="62"/>
        <v>131496545</v>
      </c>
      <c r="J71" s="40">
        <f t="shared" si="62"/>
        <v>0</v>
      </c>
      <c r="K71" s="40">
        <f t="shared" si="62"/>
        <v>131496545</v>
      </c>
      <c r="L71" s="67">
        <f t="shared" si="62"/>
        <v>54.093785151471366</v>
      </c>
      <c r="M71" s="69"/>
      <c r="N71" s="68">
        <f>N70+N56</f>
        <v>54.093785151471366</v>
      </c>
      <c r="O71" s="40">
        <f>O70+O56</f>
        <v>0</v>
      </c>
      <c r="P71" s="40">
        <f>P70+P56</f>
        <v>0</v>
      </c>
      <c r="Q71" s="40">
        <f>Q70+Q56</f>
        <v>4600000</v>
      </c>
      <c r="R71" s="46">
        <f t="shared" si="2"/>
        <v>3.4981907699552108</v>
      </c>
      <c r="S71" s="40">
        <f>S70+S56</f>
        <v>131496171</v>
      </c>
      <c r="T71" s="39"/>
      <c r="U71" s="39"/>
      <c r="V71" s="39"/>
    </row>
    <row r="74" spans="1:22" x14ac:dyDescent="0.35">
      <c r="D74" s="17"/>
    </row>
  </sheetData>
  <sheetProtection formatCells="0" selectLockedCells="1" sort="0" autoFilter="0" pivotTables="0"/>
  <mergeCells count="26">
    <mergeCell ref="A1:V1"/>
    <mergeCell ref="T5:V5"/>
    <mergeCell ref="T6:V6"/>
    <mergeCell ref="A2:V2"/>
    <mergeCell ref="A3:V3"/>
    <mergeCell ref="A4:V4"/>
    <mergeCell ref="P6:P7"/>
    <mergeCell ref="B5:B7"/>
    <mergeCell ref="N5:N7"/>
    <mergeCell ref="C5:C7"/>
    <mergeCell ref="D5:D7"/>
    <mergeCell ref="E5:E7"/>
    <mergeCell ref="F5:F7"/>
    <mergeCell ref="G5:G7"/>
    <mergeCell ref="S5:S7"/>
    <mergeCell ref="A5:A7"/>
    <mergeCell ref="Q5:R5"/>
    <mergeCell ref="H5:H7"/>
    <mergeCell ref="I5:L5"/>
    <mergeCell ref="M5:M7"/>
    <mergeCell ref="O5:P5"/>
    <mergeCell ref="I6:K6"/>
    <mergeCell ref="L6:L7"/>
    <mergeCell ref="O6:O7"/>
    <mergeCell ref="Q6:Q7"/>
    <mergeCell ref="R6:R7"/>
  </mergeCells>
  <dataValidations count="5">
    <dataValidation operator="greaterThan" allowBlank="1" showInputMessage="1" showErrorMessage="1" sqref="C13:C17 C9:C11" xr:uid="{00000000-0002-0000-0200-000000000000}"/>
    <dataValidation type="whole" operator="greaterThanOrEqual" allowBlank="1" showInputMessage="1" showErrorMessage="1" sqref="D69:G69 D67:F67 D57:F57 C55:G55 D59 D61:D62 O51:P52 I51:K52 C48:F49 C51:G52 G59:G62 O47:P49 C47:G47 E59:E63 D10:D16 I10:K42 F10:G42 O10:P42 D18:D42 G48 G54 I54:I55 I59:I63 I69 K59:K63 K54:K55 K69 I47:K49" xr:uid="{00000000-0002-0000-0200-000001000000}">
      <formula1>0</formula1>
    </dataValidation>
    <dataValidation type="whole" operator="lessThanOrEqual" allowBlank="1" showInputMessage="1" showErrorMessage="1" sqref="Q47:Q49 Q51:Q52" xr:uid="{00000000-0002-0000-0200-000002000000}">
      <formula1>#REF!</formula1>
    </dataValidation>
    <dataValidation type="whole" operator="lessThanOrEqual" allowBlank="1" showInputMessage="1" showErrorMessage="1" sqref="D17" xr:uid="{00000000-0002-0000-0200-000003000000}">
      <formula1>XET17</formula1>
    </dataValidation>
    <dataValidation type="whole" operator="lessThanOrEqual" allowBlank="1" showInputMessage="1" showErrorMessage="1" sqref="S48:S49" xr:uid="{00000000-0002-0000-0200-000004000000}">
      <formula1>D48</formula1>
    </dataValidation>
  </dataValidations>
  <pageMargins left="0.25" right="0.25" top="0.75" bottom="0.75" header="0.3" footer="0.3"/>
  <pageSetup paperSize="8" scale="78" fitToHeight="0" orientation="landscape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6"/>
  <sheetViews>
    <sheetView zoomScale="90" zoomScaleNormal="90" workbookViewId="0">
      <selection sqref="A1:V1"/>
    </sheetView>
  </sheetViews>
  <sheetFormatPr defaultColWidth="9.1796875" defaultRowHeight="14.5" x14ac:dyDescent="0.35"/>
  <cols>
    <col min="1" max="1" width="6.7265625" style="3" bestFit="1" customWidth="1"/>
    <col min="2" max="2" width="30.26953125" style="3" customWidth="1"/>
    <col min="3" max="3" width="11" style="3" customWidth="1"/>
    <col min="4" max="4" width="13.81640625" style="3" bestFit="1" customWidth="1"/>
    <col min="5" max="5" width="9.08984375" style="3" bestFit="1" customWidth="1"/>
    <col min="6" max="6" width="9.36328125" style="3" bestFit="1" customWidth="1"/>
    <col min="7" max="7" width="13.81640625" style="3" bestFit="1" customWidth="1"/>
    <col min="8" max="8" width="12" style="4" bestFit="1" customWidth="1"/>
    <col min="9" max="9" width="13.81640625" style="3" bestFit="1" customWidth="1"/>
    <col min="10" max="10" width="5.1796875" style="3" customWidth="1"/>
    <col min="11" max="11" width="13.81640625" style="3" bestFit="1" customWidth="1"/>
    <col min="12" max="12" width="9.1796875" style="4"/>
    <col min="13" max="13" width="10.54296875" style="3" customWidth="1"/>
    <col min="14" max="14" width="15.26953125" style="4" customWidth="1"/>
    <col min="15" max="15" width="3.54296875" style="3" bestFit="1" customWidth="1"/>
    <col min="16" max="16" width="8.81640625" style="3" bestFit="1" customWidth="1"/>
    <col min="17" max="17" width="3.54296875" style="3" bestFit="1" customWidth="1"/>
    <col min="18" max="18" width="12.1796875" style="4" customWidth="1"/>
    <col min="19" max="19" width="13.81640625" style="3" bestFit="1" customWidth="1"/>
    <col min="20" max="20" width="12.26953125" style="3" customWidth="1"/>
    <col min="21" max="21" width="12.54296875" style="3" customWidth="1"/>
    <col min="22" max="22" width="12.7265625" style="3" customWidth="1"/>
    <col min="23" max="16384" width="9.1796875" style="3"/>
  </cols>
  <sheetData>
    <row r="1" spans="1:22" x14ac:dyDescent="0.35">
      <c r="A1" s="159" t="s">
        <v>59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1:22" x14ac:dyDescent="0.35">
      <c r="A2" s="161" t="s">
        <v>185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3" spans="1:22" x14ac:dyDescent="0.35">
      <c r="A3" s="162" t="s">
        <v>229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1:22" x14ac:dyDescent="0.35">
      <c r="A4" s="164" t="s">
        <v>48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</row>
    <row r="5" spans="1:22" s="8" customFormat="1" ht="70.5" customHeight="1" x14ac:dyDescent="0.25">
      <c r="A5" s="142"/>
      <c r="B5" s="142" t="s">
        <v>70</v>
      </c>
      <c r="C5" s="142" t="s">
        <v>72</v>
      </c>
      <c r="D5" s="142" t="s">
        <v>2</v>
      </c>
      <c r="E5" s="142" t="s">
        <v>73</v>
      </c>
      <c r="F5" s="142" t="s">
        <v>74</v>
      </c>
      <c r="G5" s="142" t="s">
        <v>75</v>
      </c>
      <c r="H5" s="156" t="s">
        <v>76</v>
      </c>
      <c r="I5" s="142" t="s">
        <v>49</v>
      </c>
      <c r="J5" s="142"/>
      <c r="K5" s="142"/>
      <c r="L5" s="142"/>
      <c r="M5" s="142" t="s">
        <v>77</v>
      </c>
      <c r="N5" s="156" t="s">
        <v>78</v>
      </c>
      <c r="O5" s="142" t="s">
        <v>12</v>
      </c>
      <c r="P5" s="142"/>
      <c r="Q5" s="142" t="s">
        <v>13</v>
      </c>
      <c r="R5" s="142"/>
      <c r="S5" s="142" t="s">
        <v>79</v>
      </c>
      <c r="T5" s="158" t="s">
        <v>180</v>
      </c>
      <c r="U5" s="158"/>
      <c r="V5" s="158"/>
    </row>
    <row r="6" spans="1:22" s="8" customFormat="1" ht="13" x14ac:dyDescent="0.25">
      <c r="A6" s="142"/>
      <c r="B6" s="142"/>
      <c r="C6" s="142"/>
      <c r="D6" s="142"/>
      <c r="E6" s="142"/>
      <c r="F6" s="142"/>
      <c r="G6" s="142"/>
      <c r="H6" s="156"/>
      <c r="I6" s="142" t="s">
        <v>80</v>
      </c>
      <c r="J6" s="142"/>
      <c r="K6" s="142"/>
      <c r="L6" s="156" t="s">
        <v>81</v>
      </c>
      <c r="M6" s="142"/>
      <c r="N6" s="156"/>
      <c r="O6" s="142" t="s">
        <v>82</v>
      </c>
      <c r="P6" s="144" t="s">
        <v>21</v>
      </c>
      <c r="Q6" s="142" t="s">
        <v>105</v>
      </c>
      <c r="R6" s="156" t="s">
        <v>106</v>
      </c>
      <c r="S6" s="142"/>
      <c r="T6" s="158" t="s">
        <v>181</v>
      </c>
      <c r="U6" s="158"/>
      <c r="V6" s="158"/>
    </row>
    <row r="7" spans="1:22" s="8" customFormat="1" ht="66.75" customHeight="1" x14ac:dyDescent="0.25">
      <c r="A7" s="142"/>
      <c r="B7" s="142"/>
      <c r="C7" s="142"/>
      <c r="D7" s="142"/>
      <c r="E7" s="142"/>
      <c r="F7" s="142"/>
      <c r="G7" s="142"/>
      <c r="H7" s="156"/>
      <c r="I7" s="29" t="s">
        <v>84</v>
      </c>
      <c r="J7" s="29" t="s">
        <v>85</v>
      </c>
      <c r="K7" s="29" t="s">
        <v>19</v>
      </c>
      <c r="L7" s="156"/>
      <c r="M7" s="142"/>
      <c r="N7" s="156"/>
      <c r="O7" s="142"/>
      <c r="P7" s="144"/>
      <c r="Q7" s="142"/>
      <c r="R7" s="156"/>
      <c r="S7" s="142"/>
      <c r="T7" s="86" t="s">
        <v>182</v>
      </c>
      <c r="U7" s="86" t="s">
        <v>183</v>
      </c>
      <c r="V7" s="86" t="s">
        <v>184</v>
      </c>
    </row>
    <row r="8" spans="1:22" x14ac:dyDescent="0.35">
      <c r="A8" s="84">
        <v>1</v>
      </c>
      <c r="B8" s="30" t="s">
        <v>136</v>
      </c>
      <c r="C8" s="87"/>
      <c r="D8" s="87"/>
      <c r="E8" s="87"/>
      <c r="F8" s="87"/>
      <c r="G8" s="87"/>
      <c r="H8" s="88"/>
      <c r="I8" s="87"/>
      <c r="J8" s="87"/>
      <c r="K8" s="87"/>
      <c r="L8" s="88"/>
      <c r="M8" s="87"/>
      <c r="N8" s="88"/>
      <c r="O8" s="87"/>
      <c r="P8" s="87"/>
      <c r="Q8" s="87"/>
      <c r="R8" s="88"/>
      <c r="S8" s="87"/>
      <c r="T8" s="87"/>
      <c r="U8" s="87"/>
      <c r="V8" s="87"/>
    </row>
    <row r="9" spans="1:22" x14ac:dyDescent="0.35">
      <c r="A9" s="85" t="s">
        <v>51</v>
      </c>
      <c r="B9" s="77" t="s">
        <v>188</v>
      </c>
      <c r="C9" s="89">
        <v>22</v>
      </c>
      <c r="D9" s="90">
        <v>4158131</v>
      </c>
      <c r="E9" s="91">
        <v>0</v>
      </c>
      <c r="F9" s="91">
        <v>0</v>
      </c>
      <c r="G9" s="92">
        <f>D9</f>
        <v>4158131</v>
      </c>
      <c r="H9" s="93">
        <f>G9/243089931*100</f>
        <v>1.7105319759212898</v>
      </c>
      <c r="I9" s="92">
        <f>G9</f>
        <v>4158131</v>
      </c>
      <c r="J9" s="91">
        <v>0</v>
      </c>
      <c r="K9" s="92">
        <f>I9</f>
        <v>4158131</v>
      </c>
      <c r="L9" s="93">
        <f>K9/243089931*100</f>
        <v>1.7105319759212898</v>
      </c>
      <c r="M9" s="94">
        <v>0</v>
      </c>
      <c r="N9" s="93">
        <f t="shared" ref="N9:N11" si="0">K9/243089931*100</f>
        <v>1.7105319759212898</v>
      </c>
      <c r="O9" s="95">
        <v>0</v>
      </c>
      <c r="P9" s="100">
        <v>0</v>
      </c>
      <c r="Q9" s="95">
        <v>0</v>
      </c>
      <c r="R9" s="93">
        <v>0</v>
      </c>
      <c r="S9" s="102">
        <v>4158131</v>
      </c>
      <c r="T9" s="87"/>
      <c r="U9" s="87"/>
      <c r="V9" s="87"/>
    </row>
    <row r="10" spans="1:22" x14ac:dyDescent="0.35">
      <c r="A10" s="85" t="s">
        <v>52</v>
      </c>
      <c r="B10" s="77" t="s">
        <v>60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93">
        <f t="shared" ref="H10:H11" si="1">G10/243089931*100</f>
        <v>0</v>
      </c>
      <c r="I10" s="50">
        <v>0</v>
      </c>
      <c r="J10" s="50">
        <v>0</v>
      </c>
      <c r="K10" s="50">
        <v>0</v>
      </c>
      <c r="L10" s="93">
        <f t="shared" ref="L10:L11" si="2">K10/243089931*100</f>
        <v>0</v>
      </c>
      <c r="M10" s="80">
        <v>0</v>
      </c>
      <c r="N10" s="93">
        <f t="shared" si="0"/>
        <v>0</v>
      </c>
      <c r="O10" s="80">
        <v>0</v>
      </c>
      <c r="P10" s="101">
        <v>0</v>
      </c>
      <c r="Q10" s="80">
        <v>0</v>
      </c>
      <c r="R10" s="93">
        <v>0</v>
      </c>
      <c r="S10" s="50">
        <v>0</v>
      </c>
      <c r="T10" s="87"/>
      <c r="U10" s="87"/>
      <c r="V10" s="87"/>
    </row>
    <row r="11" spans="1:22" x14ac:dyDescent="0.35">
      <c r="A11" s="85" t="s">
        <v>53</v>
      </c>
      <c r="B11" s="77" t="s">
        <v>126</v>
      </c>
      <c r="C11" s="50">
        <v>4</v>
      </c>
      <c r="D11" s="89">
        <v>137443</v>
      </c>
      <c r="E11" s="50">
        <v>0</v>
      </c>
      <c r="F11" s="50">
        <v>0</v>
      </c>
      <c r="G11" s="89">
        <f>D11</f>
        <v>137443</v>
      </c>
      <c r="H11" s="93">
        <f t="shared" si="1"/>
        <v>5.6539980670774884E-2</v>
      </c>
      <c r="I11" s="89">
        <f>G11</f>
        <v>137443</v>
      </c>
      <c r="J11" s="50">
        <v>0</v>
      </c>
      <c r="K11" s="89">
        <f>I11</f>
        <v>137443</v>
      </c>
      <c r="L11" s="93">
        <f t="shared" si="2"/>
        <v>5.6539980670774884E-2</v>
      </c>
      <c r="M11" s="80">
        <v>0</v>
      </c>
      <c r="N11" s="93">
        <f t="shared" si="0"/>
        <v>5.6539980670774884E-2</v>
      </c>
      <c r="O11" s="80">
        <v>0</v>
      </c>
      <c r="P11" s="101">
        <v>0</v>
      </c>
      <c r="Q11" s="80">
        <v>0</v>
      </c>
      <c r="R11" s="93">
        <v>0</v>
      </c>
      <c r="S11" s="89">
        <v>137443</v>
      </c>
      <c r="T11" s="87"/>
      <c r="U11" s="87"/>
      <c r="V11" s="87"/>
    </row>
    <row r="12" spans="1:22" x14ac:dyDescent="0.35">
      <c r="A12" s="85" t="s">
        <v>54</v>
      </c>
      <c r="B12" s="77" t="s">
        <v>137</v>
      </c>
      <c r="C12" s="50">
        <v>9</v>
      </c>
      <c r="D12" s="50">
        <v>4384</v>
      </c>
      <c r="E12" s="50">
        <v>0</v>
      </c>
      <c r="F12" s="50">
        <v>0</v>
      </c>
      <c r="G12" s="89">
        <f t="shared" ref="G12:G13" si="3">D12</f>
        <v>4384</v>
      </c>
      <c r="H12" s="93">
        <f t="shared" ref="H12:H19" si="4">G12/243089931*100</f>
        <v>1.8034477947998595E-3</v>
      </c>
      <c r="I12" s="89">
        <f>G12</f>
        <v>4384</v>
      </c>
      <c r="J12" s="50">
        <v>0</v>
      </c>
      <c r="K12" s="89">
        <f>I12</f>
        <v>4384</v>
      </c>
      <c r="L12" s="93">
        <f t="shared" ref="L12" si="5">K12/243089931*100</f>
        <v>1.8034477947998595E-3</v>
      </c>
      <c r="M12" s="80">
        <v>0</v>
      </c>
      <c r="N12" s="93">
        <f t="shared" ref="N12" si="6">K12/243089931*100</f>
        <v>1.8034477947998595E-3</v>
      </c>
      <c r="O12" s="80">
        <v>0</v>
      </c>
      <c r="P12" s="101">
        <v>0</v>
      </c>
      <c r="Q12" s="80">
        <v>0</v>
      </c>
      <c r="R12" s="93">
        <v>0</v>
      </c>
      <c r="S12" s="89">
        <v>600</v>
      </c>
      <c r="T12" s="87"/>
      <c r="U12" s="87"/>
      <c r="V12" s="87"/>
    </row>
    <row r="13" spans="1:22" x14ac:dyDescent="0.35">
      <c r="A13" s="85" t="s">
        <v>58</v>
      </c>
      <c r="B13" s="77" t="s">
        <v>107</v>
      </c>
      <c r="C13" s="50">
        <v>1</v>
      </c>
      <c r="D13" s="50">
        <v>26629</v>
      </c>
      <c r="E13" s="50">
        <v>0</v>
      </c>
      <c r="F13" s="50">
        <v>0</v>
      </c>
      <c r="G13" s="89">
        <f t="shared" si="3"/>
        <v>26629</v>
      </c>
      <c r="H13" s="93">
        <f t="shared" si="4"/>
        <v>1.0954382145922778E-2</v>
      </c>
      <c r="I13" s="89">
        <f>G13</f>
        <v>26629</v>
      </c>
      <c r="J13" s="50">
        <v>0</v>
      </c>
      <c r="K13" s="89">
        <f>I13</f>
        <v>26629</v>
      </c>
      <c r="L13" s="93">
        <f t="shared" ref="L13" si="7">K13/243089931*100</f>
        <v>1.0954382145922778E-2</v>
      </c>
      <c r="M13" s="80">
        <v>0</v>
      </c>
      <c r="N13" s="93">
        <f t="shared" ref="N13" si="8">K13/243089931*100</f>
        <v>1.0954382145922778E-2</v>
      </c>
      <c r="O13" s="80">
        <v>0</v>
      </c>
      <c r="P13" s="101">
        <v>0</v>
      </c>
      <c r="Q13" s="80">
        <v>0</v>
      </c>
      <c r="R13" s="93">
        <v>0</v>
      </c>
      <c r="S13" s="50">
        <v>26629</v>
      </c>
      <c r="T13" s="87"/>
      <c r="U13" s="87"/>
      <c r="V13" s="87"/>
    </row>
    <row r="14" spans="1:22" x14ac:dyDescent="0.35">
      <c r="A14" s="85" t="s">
        <v>62</v>
      </c>
      <c r="B14" s="77" t="s">
        <v>65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93">
        <f t="shared" si="4"/>
        <v>0</v>
      </c>
      <c r="I14" s="50">
        <v>0</v>
      </c>
      <c r="J14" s="50">
        <v>0</v>
      </c>
      <c r="K14" s="50">
        <v>0</v>
      </c>
      <c r="L14" s="93">
        <f t="shared" ref="L14:L19" si="9">K14/243089931*100</f>
        <v>0</v>
      </c>
      <c r="M14" s="80">
        <v>0</v>
      </c>
      <c r="N14" s="93">
        <f t="shared" ref="N14:N19" si="10">K14/243089931*100</f>
        <v>0</v>
      </c>
      <c r="O14" s="80">
        <v>0</v>
      </c>
      <c r="P14" s="101">
        <v>0</v>
      </c>
      <c r="Q14" s="80">
        <v>0</v>
      </c>
      <c r="R14" s="93">
        <v>0</v>
      </c>
      <c r="S14" s="50">
        <v>0</v>
      </c>
      <c r="T14" s="87"/>
      <c r="U14" s="87"/>
      <c r="V14" s="87"/>
    </row>
    <row r="15" spans="1:22" x14ac:dyDescent="0.35">
      <c r="A15" s="85" t="s">
        <v>63</v>
      </c>
      <c r="B15" s="77" t="s">
        <v>138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93">
        <f t="shared" si="4"/>
        <v>0</v>
      </c>
      <c r="I15" s="50">
        <v>0</v>
      </c>
      <c r="J15" s="50">
        <v>0</v>
      </c>
      <c r="K15" s="50">
        <v>0</v>
      </c>
      <c r="L15" s="93">
        <f t="shared" si="9"/>
        <v>0</v>
      </c>
      <c r="M15" s="80">
        <v>0</v>
      </c>
      <c r="N15" s="93">
        <f t="shared" si="10"/>
        <v>0</v>
      </c>
      <c r="O15" s="80">
        <v>0</v>
      </c>
      <c r="P15" s="101">
        <v>0</v>
      </c>
      <c r="Q15" s="80">
        <v>0</v>
      </c>
      <c r="R15" s="93">
        <v>0</v>
      </c>
      <c r="S15" s="50">
        <v>0</v>
      </c>
      <c r="T15" s="87"/>
      <c r="U15" s="87"/>
      <c r="V15" s="87"/>
    </row>
    <row r="16" spans="1:22" x14ac:dyDescent="0.35">
      <c r="A16" s="85" t="s">
        <v>64</v>
      </c>
      <c r="B16" s="77" t="s">
        <v>139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93">
        <f t="shared" si="4"/>
        <v>0</v>
      </c>
      <c r="I16" s="50">
        <v>0</v>
      </c>
      <c r="J16" s="50">
        <v>0</v>
      </c>
      <c r="K16" s="50">
        <v>0</v>
      </c>
      <c r="L16" s="93">
        <f t="shared" si="9"/>
        <v>0</v>
      </c>
      <c r="M16" s="80">
        <v>0</v>
      </c>
      <c r="N16" s="93">
        <f t="shared" si="10"/>
        <v>0</v>
      </c>
      <c r="O16" s="80">
        <v>0</v>
      </c>
      <c r="P16" s="101">
        <v>0</v>
      </c>
      <c r="Q16" s="80">
        <v>0</v>
      </c>
      <c r="R16" s="93">
        <v>0</v>
      </c>
      <c r="S16" s="50">
        <v>0</v>
      </c>
      <c r="T16" s="87"/>
      <c r="U16" s="87"/>
      <c r="V16" s="87"/>
    </row>
    <row r="17" spans="1:22" x14ac:dyDescent="0.35">
      <c r="A17" s="85" t="s">
        <v>66</v>
      </c>
      <c r="B17" s="77" t="s">
        <v>67</v>
      </c>
      <c r="C17" s="50">
        <v>1</v>
      </c>
      <c r="D17" s="89">
        <v>3650</v>
      </c>
      <c r="E17" s="50">
        <v>0</v>
      </c>
      <c r="F17" s="50">
        <v>0</v>
      </c>
      <c r="G17" s="50">
        <f>D17</f>
        <v>3650</v>
      </c>
      <c r="H17" s="93">
        <f t="shared" si="4"/>
        <v>1.5015019276960508E-3</v>
      </c>
      <c r="I17" s="50">
        <f>D17</f>
        <v>3650</v>
      </c>
      <c r="J17" s="50">
        <v>0</v>
      </c>
      <c r="K17" s="50">
        <f>D17</f>
        <v>3650</v>
      </c>
      <c r="L17" s="93">
        <f t="shared" si="9"/>
        <v>1.5015019276960508E-3</v>
      </c>
      <c r="M17" s="80">
        <v>0</v>
      </c>
      <c r="N17" s="93">
        <f t="shared" si="10"/>
        <v>1.5015019276960508E-3</v>
      </c>
      <c r="O17" s="80">
        <v>0</v>
      </c>
      <c r="P17" s="101">
        <v>0</v>
      </c>
      <c r="Q17" s="80">
        <v>0</v>
      </c>
      <c r="R17" s="93">
        <v>0</v>
      </c>
      <c r="S17" s="50">
        <v>3650</v>
      </c>
      <c r="T17" s="87"/>
      <c r="U17" s="87"/>
      <c r="V17" s="87"/>
    </row>
    <row r="18" spans="1:22" x14ac:dyDescent="0.35">
      <c r="A18" s="85" t="s">
        <v>140</v>
      </c>
      <c r="B18" s="77" t="s">
        <v>141</v>
      </c>
      <c r="C18" s="50">
        <v>0</v>
      </c>
      <c r="D18" s="89">
        <v>0</v>
      </c>
      <c r="E18" s="50">
        <v>0</v>
      </c>
      <c r="F18" s="50">
        <v>0</v>
      </c>
      <c r="G18" s="50">
        <f>D18</f>
        <v>0</v>
      </c>
      <c r="H18" s="93">
        <f t="shared" si="4"/>
        <v>0</v>
      </c>
      <c r="I18" s="50">
        <f>D18</f>
        <v>0</v>
      </c>
      <c r="J18" s="50">
        <v>0</v>
      </c>
      <c r="K18" s="50">
        <f>D18</f>
        <v>0</v>
      </c>
      <c r="L18" s="93">
        <f t="shared" si="9"/>
        <v>0</v>
      </c>
      <c r="M18" s="80">
        <v>0</v>
      </c>
      <c r="N18" s="93">
        <f t="shared" si="10"/>
        <v>0</v>
      </c>
      <c r="O18" s="80">
        <v>0</v>
      </c>
      <c r="P18" s="101">
        <v>0</v>
      </c>
      <c r="Q18" s="80">
        <v>0</v>
      </c>
      <c r="R18" s="93">
        <v>0</v>
      </c>
      <c r="S18" s="50">
        <v>0</v>
      </c>
      <c r="T18" s="87"/>
      <c r="U18" s="87"/>
      <c r="V18" s="87"/>
    </row>
    <row r="19" spans="1:22" x14ac:dyDescent="0.35">
      <c r="A19" s="85" t="s">
        <v>143</v>
      </c>
      <c r="B19" s="77" t="s">
        <v>93</v>
      </c>
      <c r="C19" s="50">
        <v>0</v>
      </c>
      <c r="D19" s="89">
        <v>0</v>
      </c>
      <c r="E19" s="50">
        <v>0</v>
      </c>
      <c r="F19" s="50">
        <v>0</v>
      </c>
      <c r="G19" s="50">
        <f>D19</f>
        <v>0</v>
      </c>
      <c r="H19" s="93">
        <f t="shared" si="4"/>
        <v>0</v>
      </c>
      <c r="I19" s="50">
        <f>D19</f>
        <v>0</v>
      </c>
      <c r="J19" s="50">
        <v>0</v>
      </c>
      <c r="K19" s="50">
        <f>D19</f>
        <v>0</v>
      </c>
      <c r="L19" s="93">
        <f t="shared" si="9"/>
        <v>0</v>
      </c>
      <c r="M19" s="80">
        <v>0</v>
      </c>
      <c r="N19" s="93">
        <f t="shared" si="10"/>
        <v>0</v>
      </c>
      <c r="O19" s="80">
        <v>0</v>
      </c>
      <c r="P19" s="101">
        <v>0</v>
      </c>
      <c r="Q19" s="80">
        <v>0</v>
      </c>
      <c r="R19" s="93">
        <v>0</v>
      </c>
      <c r="S19" s="50">
        <v>0</v>
      </c>
      <c r="T19" s="87"/>
      <c r="U19" s="87"/>
      <c r="V19" s="87"/>
    </row>
    <row r="20" spans="1:22" s="9" customFormat="1" x14ac:dyDescent="0.35">
      <c r="A20" s="84"/>
      <c r="B20" s="30" t="s">
        <v>108</v>
      </c>
      <c r="C20" s="96">
        <f>SUM(C9:C19)</f>
        <v>37</v>
      </c>
      <c r="D20" s="96">
        <f t="shared" ref="D20:S20" si="11">SUM(D9:D19)</f>
        <v>4330237</v>
      </c>
      <c r="E20" s="96">
        <f t="shared" si="11"/>
        <v>0</v>
      </c>
      <c r="F20" s="96">
        <f t="shared" si="11"/>
        <v>0</v>
      </c>
      <c r="G20" s="96">
        <f t="shared" si="11"/>
        <v>4330237</v>
      </c>
      <c r="H20" s="97">
        <f t="shared" si="11"/>
        <v>1.7813312884604835</v>
      </c>
      <c r="I20" s="96">
        <f t="shared" si="11"/>
        <v>4330237</v>
      </c>
      <c r="J20" s="96">
        <f t="shared" si="11"/>
        <v>0</v>
      </c>
      <c r="K20" s="96">
        <f t="shared" si="11"/>
        <v>4330237</v>
      </c>
      <c r="L20" s="97">
        <f t="shared" si="11"/>
        <v>1.7813312884604835</v>
      </c>
      <c r="M20" s="98">
        <f t="shared" si="11"/>
        <v>0</v>
      </c>
      <c r="N20" s="97">
        <f t="shared" si="11"/>
        <v>1.7813312884604835</v>
      </c>
      <c r="O20" s="98">
        <f t="shared" si="11"/>
        <v>0</v>
      </c>
      <c r="P20" s="97">
        <f t="shared" si="11"/>
        <v>0</v>
      </c>
      <c r="Q20" s="98">
        <f t="shared" si="11"/>
        <v>0</v>
      </c>
      <c r="R20" s="98">
        <f t="shared" si="11"/>
        <v>0</v>
      </c>
      <c r="S20" s="96">
        <f t="shared" si="11"/>
        <v>4326453</v>
      </c>
      <c r="T20" s="103"/>
      <c r="U20" s="103"/>
      <c r="V20" s="103"/>
    </row>
    <row r="21" spans="1:22" x14ac:dyDescent="0.35">
      <c r="A21" s="84">
        <v>2</v>
      </c>
      <c r="B21" s="30" t="s">
        <v>142</v>
      </c>
      <c r="C21" s="89"/>
      <c r="D21" s="89"/>
      <c r="E21" s="89"/>
      <c r="F21" s="89"/>
      <c r="G21" s="89"/>
      <c r="H21" s="88"/>
      <c r="I21" s="89"/>
      <c r="J21" s="89"/>
      <c r="K21" s="89"/>
      <c r="L21" s="88"/>
      <c r="M21" s="87"/>
      <c r="N21" s="88"/>
      <c r="O21" s="87"/>
      <c r="P21" s="87"/>
      <c r="Q21" s="87"/>
      <c r="R21" s="88"/>
      <c r="S21" s="87"/>
      <c r="T21" s="87"/>
      <c r="U21" s="87"/>
      <c r="V21" s="87"/>
    </row>
    <row r="22" spans="1:22" x14ac:dyDescent="0.35">
      <c r="A22" s="85" t="s">
        <v>51</v>
      </c>
      <c r="B22" s="77" t="s">
        <v>144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93">
        <f t="shared" ref="H22:H28" si="12">G22/243089931*100</f>
        <v>0</v>
      </c>
      <c r="I22" s="50">
        <v>0</v>
      </c>
      <c r="J22" s="50">
        <v>0</v>
      </c>
      <c r="K22" s="50">
        <v>0</v>
      </c>
      <c r="L22" s="93">
        <f t="shared" ref="L22:L28" si="13">K22/243089931*100</f>
        <v>0</v>
      </c>
      <c r="M22" s="80">
        <v>0</v>
      </c>
      <c r="N22" s="93">
        <f t="shared" ref="N22:N28" si="14">K22/243089931*100</f>
        <v>0</v>
      </c>
      <c r="O22" s="80">
        <v>0</v>
      </c>
      <c r="P22" s="101">
        <v>0</v>
      </c>
      <c r="Q22" s="80">
        <v>0</v>
      </c>
      <c r="R22" s="93">
        <v>0</v>
      </c>
      <c r="S22" s="50">
        <v>0</v>
      </c>
      <c r="T22" s="87"/>
      <c r="U22" s="87"/>
      <c r="V22" s="87"/>
    </row>
    <row r="23" spans="1:22" x14ac:dyDescent="0.35">
      <c r="A23" s="85" t="s">
        <v>52</v>
      </c>
      <c r="B23" s="77" t="s">
        <v>61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93">
        <f t="shared" si="12"/>
        <v>0</v>
      </c>
      <c r="I23" s="50">
        <v>0</v>
      </c>
      <c r="J23" s="50">
        <v>0</v>
      </c>
      <c r="K23" s="50">
        <v>0</v>
      </c>
      <c r="L23" s="93">
        <f t="shared" si="13"/>
        <v>0</v>
      </c>
      <c r="M23" s="80">
        <v>0</v>
      </c>
      <c r="N23" s="93">
        <f t="shared" si="14"/>
        <v>0</v>
      </c>
      <c r="O23" s="80">
        <v>0</v>
      </c>
      <c r="P23" s="101">
        <v>0</v>
      </c>
      <c r="Q23" s="80">
        <v>0</v>
      </c>
      <c r="R23" s="93">
        <v>0</v>
      </c>
      <c r="S23" s="50">
        <v>0</v>
      </c>
      <c r="T23" s="87"/>
      <c r="U23" s="87"/>
      <c r="V23" s="87"/>
    </row>
    <row r="24" spans="1:22" x14ac:dyDescent="0.35">
      <c r="A24" s="85" t="s">
        <v>53</v>
      </c>
      <c r="B24" s="77" t="s">
        <v>139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93">
        <f t="shared" si="12"/>
        <v>0</v>
      </c>
      <c r="I24" s="50">
        <v>0</v>
      </c>
      <c r="J24" s="50">
        <v>0</v>
      </c>
      <c r="K24" s="50">
        <v>0</v>
      </c>
      <c r="L24" s="93">
        <f t="shared" si="13"/>
        <v>0</v>
      </c>
      <c r="M24" s="80">
        <v>0</v>
      </c>
      <c r="N24" s="93">
        <f t="shared" si="14"/>
        <v>0</v>
      </c>
      <c r="O24" s="80">
        <v>0</v>
      </c>
      <c r="P24" s="101">
        <v>0</v>
      </c>
      <c r="Q24" s="80">
        <v>0</v>
      </c>
      <c r="R24" s="93">
        <v>0</v>
      </c>
      <c r="S24" s="50">
        <v>0</v>
      </c>
      <c r="T24" s="87"/>
      <c r="U24" s="87"/>
      <c r="V24" s="87"/>
    </row>
    <row r="25" spans="1:22" ht="27" customHeight="1" x14ac:dyDescent="0.35">
      <c r="A25" s="85" t="s">
        <v>54</v>
      </c>
      <c r="B25" s="77" t="s">
        <v>145</v>
      </c>
      <c r="C25" s="89">
        <v>94</v>
      </c>
      <c r="D25" s="99">
        <v>8744071</v>
      </c>
      <c r="E25" s="50">
        <v>0</v>
      </c>
      <c r="F25" s="50">
        <v>0</v>
      </c>
      <c r="G25" s="89">
        <f>D25</f>
        <v>8744071</v>
      </c>
      <c r="H25" s="93">
        <f t="shared" si="12"/>
        <v>3.5970519075099001</v>
      </c>
      <c r="I25" s="89">
        <f>G25</f>
        <v>8744071</v>
      </c>
      <c r="J25" s="50">
        <v>0</v>
      </c>
      <c r="K25" s="89">
        <f>I25</f>
        <v>8744071</v>
      </c>
      <c r="L25" s="93">
        <f t="shared" si="13"/>
        <v>3.5970519075099001</v>
      </c>
      <c r="M25" s="80">
        <v>0</v>
      </c>
      <c r="N25" s="93">
        <f t="shared" si="14"/>
        <v>3.5970519075099001</v>
      </c>
      <c r="O25" s="80">
        <v>0</v>
      </c>
      <c r="P25" s="101">
        <v>0</v>
      </c>
      <c r="Q25" s="80">
        <v>0</v>
      </c>
      <c r="R25" s="93">
        <v>0</v>
      </c>
      <c r="S25" s="89">
        <v>8744071</v>
      </c>
      <c r="T25" s="87"/>
      <c r="U25" s="87"/>
      <c r="V25" s="87"/>
    </row>
    <row r="26" spans="1:22" x14ac:dyDescent="0.35">
      <c r="A26" s="85" t="s">
        <v>58</v>
      </c>
      <c r="B26" s="77" t="s">
        <v>146</v>
      </c>
      <c r="C26" s="89">
        <v>8</v>
      </c>
      <c r="D26" s="99">
        <v>328276</v>
      </c>
      <c r="E26" s="50">
        <v>0</v>
      </c>
      <c r="F26" s="50">
        <v>0</v>
      </c>
      <c r="G26" s="89">
        <f>D26</f>
        <v>328276</v>
      </c>
      <c r="H26" s="93">
        <f t="shared" si="12"/>
        <v>0.13504302652502706</v>
      </c>
      <c r="I26" s="89">
        <f>G26</f>
        <v>328276</v>
      </c>
      <c r="J26" s="50">
        <v>0</v>
      </c>
      <c r="K26" s="89">
        <f>I26</f>
        <v>328276</v>
      </c>
      <c r="L26" s="93">
        <f t="shared" si="13"/>
        <v>0.13504302652502706</v>
      </c>
      <c r="M26" s="80">
        <v>0</v>
      </c>
      <c r="N26" s="93">
        <f t="shared" si="14"/>
        <v>0.13504302652502706</v>
      </c>
      <c r="O26" s="80">
        <v>0</v>
      </c>
      <c r="P26" s="101">
        <v>0</v>
      </c>
      <c r="Q26" s="80">
        <v>0</v>
      </c>
      <c r="R26" s="93">
        <v>0</v>
      </c>
      <c r="S26" s="89">
        <v>328276</v>
      </c>
      <c r="T26" s="87"/>
      <c r="U26" s="87"/>
      <c r="V26" s="87"/>
    </row>
    <row r="27" spans="1:22" ht="26" x14ac:dyDescent="0.35">
      <c r="A27" s="85" t="s">
        <v>62</v>
      </c>
      <c r="B27" s="77" t="s">
        <v>68</v>
      </c>
      <c r="C27" s="50">
        <v>0</v>
      </c>
      <c r="D27" s="89">
        <v>0</v>
      </c>
      <c r="E27" s="50">
        <v>0</v>
      </c>
      <c r="F27" s="50">
        <v>0</v>
      </c>
      <c r="G27" s="89">
        <f>D27</f>
        <v>0</v>
      </c>
      <c r="H27" s="93">
        <f t="shared" si="12"/>
        <v>0</v>
      </c>
      <c r="I27" s="89">
        <f>G27</f>
        <v>0</v>
      </c>
      <c r="J27" s="50">
        <v>0</v>
      </c>
      <c r="K27" s="89">
        <f>I27</f>
        <v>0</v>
      </c>
      <c r="L27" s="93">
        <f t="shared" si="13"/>
        <v>0</v>
      </c>
      <c r="M27" s="80">
        <v>0</v>
      </c>
      <c r="N27" s="93">
        <f t="shared" si="14"/>
        <v>0</v>
      </c>
      <c r="O27" s="80">
        <v>0</v>
      </c>
      <c r="P27" s="101">
        <v>0</v>
      </c>
      <c r="Q27" s="80">
        <v>0</v>
      </c>
      <c r="R27" s="93">
        <v>0</v>
      </c>
      <c r="S27" s="89"/>
      <c r="T27" s="87"/>
      <c r="U27" s="87"/>
      <c r="V27" s="87"/>
    </row>
    <row r="28" spans="1:22" x14ac:dyDescent="0.35">
      <c r="A28" s="85" t="s">
        <v>63</v>
      </c>
      <c r="B28" s="77" t="s">
        <v>93</v>
      </c>
      <c r="C28" s="50">
        <v>2</v>
      </c>
      <c r="D28" s="50">
        <v>2174</v>
      </c>
      <c r="E28" s="50">
        <v>0</v>
      </c>
      <c r="F28" s="50">
        <v>0</v>
      </c>
      <c r="G28" s="50">
        <f>D28</f>
        <v>2174</v>
      </c>
      <c r="H28" s="93">
        <f t="shared" si="12"/>
        <v>8.9431923035923687E-4</v>
      </c>
      <c r="I28" s="50">
        <f>G28</f>
        <v>2174</v>
      </c>
      <c r="J28" s="50">
        <v>0</v>
      </c>
      <c r="K28" s="50">
        <f>I28</f>
        <v>2174</v>
      </c>
      <c r="L28" s="93">
        <f t="shared" si="13"/>
        <v>8.9431923035923687E-4</v>
      </c>
      <c r="M28" s="80">
        <v>0</v>
      </c>
      <c r="N28" s="93">
        <f t="shared" si="14"/>
        <v>8.9431923035923687E-4</v>
      </c>
      <c r="O28" s="80">
        <v>0</v>
      </c>
      <c r="P28" s="101">
        <v>0</v>
      </c>
      <c r="Q28" s="80">
        <v>0</v>
      </c>
      <c r="R28" s="93">
        <v>0</v>
      </c>
      <c r="S28" s="50">
        <v>2024</v>
      </c>
      <c r="T28" s="87"/>
      <c r="U28" s="87"/>
      <c r="V28" s="87"/>
    </row>
    <row r="29" spans="1:22" s="9" customFormat="1" x14ac:dyDescent="0.35">
      <c r="A29" s="84"/>
      <c r="B29" s="30" t="s">
        <v>109</v>
      </c>
      <c r="C29" s="96">
        <f>SUM(C22:C28)</f>
        <v>104</v>
      </c>
      <c r="D29" s="96">
        <f t="shared" ref="D29:S29" si="15">SUM(D22:D28)</f>
        <v>9074521</v>
      </c>
      <c r="E29" s="96">
        <f t="shared" si="15"/>
        <v>0</v>
      </c>
      <c r="F29" s="96">
        <f t="shared" si="15"/>
        <v>0</v>
      </c>
      <c r="G29" s="96">
        <f t="shared" si="15"/>
        <v>9074521</v>
      </c>
      <c r="H29" s="97">
        <f t="shared" si="15"/>
        <v>3.7329892532652864</v>
      </c>
      <c r="I29" s="96">
        <f t="shared" si="15"/>
        <v>9074521</v>
      </c>
      <c r="J29" s="96">
        <f t="shared" si="15"/>
        <v>0</v>
      </c>
      <c r="K29" s="96">
        <f t="shared" si="15"/>
        <v>9074521</v>
      </c>
      <c r="L29" s="97">
        <f t="shared" si="15"/>
        <v>3.7329892532652864</v>
      </c>
      <c r="M29" s="33">
        <f t="shared" si="15"/>
        <v>0</v>
      </c>
      <c r="N29" s="97">
        <f t="shared" si="15"/>
        <v>3.7329892532652864</v>
      </c>
      <c r="O29" s="33">
        <f t="shared" si="15"/>
        <v>0</v>
      </c>
      <c r="P29" s="33">
        <f t="shared" si="15"/>
        <v>0</v>
      </c>
      <c r="Q29" s="33">
        <f t="shared" si="15"/>
        <v>0</v>
      </c>
      <c r="R29" s="33">
        <f t="shared" si="15"/>
        <v>0</v>
      </c>
      <c r="S29" s="96">
        <f t="shared" si="15"/>
        <v>9074371</v>
      </c>
      <c r="T29" s="103"/>
      <c r="U29" s="103"/>
      <c r="V29" s="103"/>
    </row>
    <row r="30" spans="1:22" s="9" customFormat="1" ht="26" x14ac:dyDescent="0.35">
      <c r="A30" s="84">
        <v>3</v>
      </c>
      <c r="B30" s="30" t="s">
        <v>92</v>
      </c>
      <c r="C30" s="96"/>
      <c r="D30" s="96"/>
      <c r="E30" s="96"/>
      <c r="F30" s="96"/>
      <c r="G30" s="96"/>
      <c r="H30" s="104"/>
      <c r="I30" s="96"/>
      <c r="J30" s="96"/>
      <c r="K30" s="96"/>
      <c r="L30" s="104"/>
      <c r="M30" s="33"/>
      <c r="N30" s="104"/>
      <c r="O30" s="33"/>
      <c r="P30" s="105"/>
      <c r="Q30" s="33"/>
      <c r="R30" s="104"/>
      <c r="S30" s="96"/>
      <c r="T30" s="103"/>
      <c r="U30" s="103"/>
      <c r="V30" s="103"/>
    </row>
    <row r="31" spans="1:22" ht="26" x14ac:dyDescent="0.35">
      <c r="A31" s="85" t="s">
        <v>51</v>
      </c>
      <c r="B31" s="77" t="s">
        <v>147</v>
      </c>
      <c r="C31" s="50">
        <v>0</v>
      </c>
      <c r="D31" s="89">
        <v>0</v>
      </c>
      <c r="E31" s="50">
        <v>0</v>
      </c>
      <c r="F31" s="50">
        <v>0</v>
      </c>
      <c r="G31" s="89">
        <f>D31</f>
        <v>0</v>
      </c>
      <c r="H31" s="93">
        <f>G31/243089931*100</f>
        <v>0</v>
      </c>
      <c r="I31" s="89">
        <f>G31</f>
        <v>0</v>
      </c>
      <c r="J31" s="50">
        <v>0</v>
      </c>
      <c r="K31" s="89">
        <f>I31</f>
        <v>0</v>
      </c>
      <c r="L31" s="93">
        <f>K31/243089931*100</f>
        <v>0</v>
      </c>
      <c r="M31" s="80">
        <v>0</v>
      </c>
      <c r="N31" s="93">
        <f>K31/243089931*100</f>
        <v>0</v>
      </c>
      <c r="O31" s="80">
        <v>0</v>
      </c>
      <c r="P31" s="101">
        <v>0</v>
      </c>
      <c r="Q31" s="80">
        <v>0</v>
      </c>
      <c r="R31" s="93">
        <v>0</v>
      </c>
      <c r="S31" s="89"/>
      <c r="T31" s="87"/>
      <c r="U31" s="87"/>
      <c r="V31" s="87"/>
    </row>
    <row r="32" spans="1:22" x14ac:dyDescent="0.35">
      <c r="A32" s="85" t="s">
        <v>52</v>
      </c>
      <c r="B32" s="77" t="s">
        <v>148</v>
      </c>
      <c r="C32" s="50">
        <v>0</v>
      </c>
      <c r="D32" s="50">
        <v>0</v>
      </c>
      <c r="E32" s="50">
        <v>0</v>
      </c>
      <c r="F32" s="50">
        <v>0</v>
      </c>
      <c r="G32" s="50">
        <f>D32</f>
        <v>0</v>
      </c>
      <c r="H32" s="93">
        <f t="shared" ref="H32" si="16">G32/243089931*100</f>
        <v>0</v>
      </c>
      <c r="I32" s="50">
        <f>G32</f>
        <v>0</v>
      </c>
      <c r="J32" s="50">
        <v>0</v>
      </c>
      <c r="K32" s="50">
        <f>I32</f>
        <v>0</v>
      </c>
      <c r="L32" s="93">
        <f t="shared" ref="L32" si="17">K32/243089931*100</f>
        <v>0</v>
      </c>
      <c r="M32" s="80">
        <v>0</v>
      </c>
      <c r="N32" s="93">
        <f>K32/243089931*100</f>
        <v>0</v>
      </c>
      <c r="O32" s="80">
        <v>0</v>
      </c>
      <c r="P32" s="101">
        <v>0</v>
      </c>
      <c r="Q32" s="80">
        <v>0</v>
      </c>
      <c r="R32" s="93">
        <v>0</v>
      </c>
      <c r="S32" s="50">
        <v>0</v>
      </c>
      <c r="T32" s="87"/>
      <c r="U32" s="87"/>
      <c r="V32" s="87"/>
    </row>
    <row r="33" spans="1:22" ht="39.75" customHeight="1" x14ac:dyDescent="0.35">
      <c r="A33" s="85" t="s">
        <v>53</v>
      </c>
      <c r="B33" s="77" t="s">
        <v>149</v>
      </c>
      <c r="C33" s="50">
        <v>0</v>
      </c>
      <c r="D33" s="89">
        <v>0</v>
      </c>
      <c r="E33" s="50">
        <v>0</v>
      </c>
      <c r="F33" s="50">
        <v>0</v>
      </c>
      <c r="G33" s="89">
        <f>D33</f>
        <v>0</v>
      </c>
      <c r="H33" s="93">
        <f>G33/243089931*100</f>
        <v>0</v>
      </c>
      <c r="I33" s="89">
        <f>G33</f>
        <v>0</v>
      </c>
      <c r="J33" s="50">
        <v>0</v>
      </c>
      <c r="K33" s="89">
        <f>I33</f>
        <v>0</v>
      </c>
      <c r="L33" s="93">
        <f>K33/243089931*100</f>
        <v>0</v>
      </c>
      <c r="M33" s="80">
        <v>0</v>
      </c>
      <c r="N33" s="93">
        <f>K33/243089931*100</f>
        <v>0</v>
      </c>
      <c r="O33" s="80">
        <v>0</v>
      </c>
      <c r="P33" s="101">
        <v>0</v>
      </c>
      <c r="Q33" s="80">
        <v>0</v>
      </c>
      <c r="R33" s="93">
        <v>0</v>
      </c>
      <c r="S33" s="89"/>
      <c r="T33" s="87"/>
      <c r="U33" s="87"/>
      <c r="V33" s="87"/>
    </row>
    <row r="34" spans="1:22" s="9" customFormat="1" x14ac:dyDescent="0.35">
      <c r="A34" s="84"/>
      <c r="B34" s="30" t="s">
        <v>115</v>
      </c>
      <c r="C34" s="96">
        <f>SUM(C31:C33)</f>
        <v>0</v>
      </c>
      <c r="D34" s="96">
        <f t="shared" ref="D34:S34" si="18">SUM(D31:D33)</f>
        <v>0</v>
      </c>
      <c r="E34" s="96">
        <f t="shared" si="18"/>
        <v>0</v>
      </c>
      <c r="F34" s="96">
        <f t="shared" si="18"/>
        <v>0</v>
      </c>
      <c r="G34" s="96">
        <f t="shared" si="18"/>
        <v>0</v>
      </c>
      <c r="H34" s="97">
        <f t="shared" si="18"/>
        <v>0</v>
      </c>
      <c r="I34" s="96">
        <f t="shared" si="18"/>
        <v>0</v>
      </c>
      <c r="J34" s="96">
        <f t="shared" si="18"/>
        <v>0</v>
      </c>
      <c r="K34" s="96">
        <f t="shared" si="18"/>
        <v>0</v>
      </c>
      <c r="L34" s="97">
        <f t="shared" si="18"/>
        <v>0</v>
      </c>
      <c r="M34" s="33">
        <f t="shared" si="18"/>
        <v>0</v>
      </c>
      <c r="N34" s="97">
        <f t="shared" si="18"/>
        <v>0</v>
      </c>
      <c r="O34" s="33">
        <f t="shared" si="18"/>
        <v>0</v>
      </c>
      <c r="P34" s="33">
        <f t="shared" si="18"/>
        <v>0</v>
      </c>
      <c r="Q34" s="33">
        <f t="shared" si="18"/>
        <v>0</v>
      </c>
      <c r="R34" s="33">
        <f t="shared" si="18"/>
        <v>0</v>
      </c>
      <c r="S34" s="96">
        <f t="shared" si="18"/>
        <v>0</v>
      </c>
      <c r="T34" s="103"/>
      <c r="U34" s="103"/>
      <c r="V34" s="103"/>
    </row>
    <row r="35" spans="1:22" x14ac:dyDescent="0.35">
      <c r="A35" s="84">
        <v>4</v>
      </c>
      <c r="B35" s="30" t="s">
        <v>110</v>
      </c>
      <c r="C35" s="50"/>
      <c r="D35" s="50"/>
      <c r="E35" s="50"/>
      <c r="F35" s="50"/>
      <c r="G35" s="50"/>
      <c r="H35" s="93"/>
      <c r="I35" s="50"/>
      <c r="J35" s="50"/>
      <c r="K35" s="50"/>
      <c r="L35" s="93"/>
      <c r="M35" s="80"/>
      <c r="N35" s="93"/>
      <c r="O35" s="80"/>
      <c r="P35" s="101"/>
      <c r="Q35" s="80"/>
      <c r="R35" s="93"/>
      <c r="S35" s="50"/>
      <c r="T35" s="87"/>
      <c r="U35" s="87"/>
      <c r="V35" s="87"/>
    </row>
    <row r="36" spans="1:22" x14ac:dyDescent="0.35">
      <c r="A36" s="85" t="s">
        <v>51</v>
      </c>
      <c r="B36" s="77" t="s">
        <v>150</v>
      </c>
      <c r="C36" s="50"/>
      <c r="D36" s="50"/>
      <c r="E36" s="50"/>
      <c r="F36" s="50"/>
      <c r="G36" s="50"/>
      <c r="H36" s="93"/>
      <c r="I36" s="50"/>
      <c r="J36" s="50"/>
      <c r="K36" s="50"/>
      <c r="L36" s="93"/>
      <c r="M36" s="80"/>
      <c r="N36" s="93"/>
      <c r="O36" s="80"/>
      <c r="P36" s="101"/>
      <c r="Q36" s="80"/>
      <c r="R36" s="93"/>
      <c r="S36" s="50"/>
      <c r="T36" s="87"/>
      <c r="U36" s="87"/>
      <c r="V36" s="87"/>
    </row>
    <row r="37" spans="1:22" ht="36.75" customHeight="1" x14ac:dyDescent="0.35">
      <c r="A37" s="85" t="s">
        <v>52</v>
      </c>
      <c r="B37" s="77" t="s">
        <v>151</v>
      </c>
      <c r="C37" s="50"/>
      <c r="D37" s="50"/>
      <c r="E37" s="50"/>
      <c r="F37" s="50"/>
      <c r="G37" s="50"/>
      <c r="H37" s="93"/>
      <c r="I37" s="50"/>
      <c r="J37" s="50"/>
      <c r="K37" s="50"/>
      <c r="L37" s="93"/>
      <c r="M37" s="80"/>
      <c r="N37" s="93"/>
      <c r="O37" s="80"/>
      <c r="P37" s="101"/>
      <c r="Q37" s="80"/>
      <c r="R37" s="93"/>
      <c r="S37" s="50"/>
      <c r="T37" s="87"/>
      <c r="U37" s="87"/>
      <c r="V37" s="87"/>
    </row>
    <row r="38" spans="1:22" x14ac:dyDescent="0.35">
      <c r="A38" s="85" t="s">
        <v>53</v>
      </c>
      <c r="B38" s="77" t="s">
        <v>152</v>
      </c>
      <c r="C38" s="50"/>
      <c r="D38" s="50"/>
      <c r="E38" s="50"/>
      <c r="F38" s="50"/>
      <c r="G38" s="50"/>
      <c r="H38" s="93"/>
      <c r="I38" s="50"/>
      <c r="J38" s="50"/>
      <c r="K38" s="50"/>
      <c r="L38" s="93"/>
      <c r="M38" s="80"/>
      <c r="N38" s="93"/>
      <c r="O38" s="80"/>
      <c r="P38" s="101"/>
      <c r="Q38" s="80"/>
      <c r="R38" s="93"/>
      <c r="S38" s="50"/>
      <c r="T38" s="87"/>
      <c r="U38" s="87"/>
      <c r="V38" s="87"/>
    </row>
    <row r="39" spans="1:22" ht="63" customHeight="1" x14ac:dyDescent="0.35">
      <c r="A39" s="85" t="s">
        <v>54</v>
      </c>
      <c r="B39" s="77" t="s">
        <v>153</v>
      </c>
      <c r="C39" s="50"/>
      <c r="D39" s="50"/>
      <c r="E39" s="50"/>
      <c r="F39" s="50"/>
      <c r="G39" s="50"/>
      <c r="H39" s="93"/>
      <c r="I39" s="50"/>
      <c r="J39" s="50"/>
      <c r="K39" s="50"/>
      <c r="L39" s="93"/>
      <c r="M39" s="80"/>
      <c r="N39" s="93"/>
      <c r="O39" s="80"/>
      <c r="P39" s="101"/>
      <c r="Q39" s="80"/>
      <c r="R39" s="93"/>
      <c r="S39" s="50"/>
      <c r="T39" s="87"/>
      <c r="U39" s="87"/>
      <c r="V39" s="87"/>
    </row>
    <row r="40" spans="1:22" ht="63.75" customHeight="1" x14ac:dyDescent="0.35">
      <c r="A40" s="85" t="s">
        <v>162</v>
      </c>
      <c r="B40" s="77" t="s">
        <v>154</v>
      </c>
      <c r="C40" s="50"/>
      <c r="D40" s="50"/>
      <c r="E40" s="50"/>
      <c r="F40" s="50"/>
      <c r="G40" s="50"/>
      <c r="H40" s="93"/>
      <c r="I40" s="50"/>
      <c r="J40" s="50"/>
      <c r="K40" s="50"/>
      <c r="L40" s="93"/>
      <c r="M40" s="80"/>
      <c r="N40" s="93"/>
      <c r="O40" s="80"/>
      <c r="P40" s="101"/>
      <c r="Q40" s="80"/>
      <c r="R40" s="93"/>
      <c r="S40" s="50"/>
      <c r="T40" s="87"/>
      <c r="U40" s="87"/>
      <c r="V40" s="87"/>
    </row>
    <row r="41" spans="1:22" ht="27.75" customHeight="1" x14ac:dyDescent="0.35">
      <c r="A41" s="85" t="s">
        <v>62</v>
      </c>
      <c r="B41" s="77" t="s">
        <v>155</v>
      </c>
      <c r="C41" s="50">
        <v>1</v>
      </c>
      <c r="D41" s="50">
        <v>1489953</v>
      </c>
      <c r="E41" s="50">
        <v>0</v>
      </c>
      <c r="F41" s="50">
        <v>0</v>
      </c>
      <c r="G41" s="92">
        <f>D41</f>
        <v>1489953</v>
      </c>
      <c r="H41" s="93">
        <f t="shared" ref="H41" si="19">G41/243089931*100</f>
        <v>0.61292254840452443</v>
      </c>
      <c r="I41" s="92">
        <f>G41</f>
        <v>1489953</v>
      </c>
      <c r="J41" s="50">
        <v>0</v>
      </c>
      <c r="K41" s="92">
        <f>I41</f>
        <v>1489953</v>
      </c>
      <c r="L41" s="93">
        <f t="shared" ref="L41" si="20">K41/243089931*100</f>
        <v>0.61292254840452443</v>
      </c>
      <c r="M41" s="80">
        <v>0</v>
      </c>
      <c r="N41" s="93">
        <f t="shared" ref="N41" si="21">K41/243089931*100</f>
        <v>0.61292254840452443</v>
      </c>
      <c r="O41" s="80">
        <v>0</v>
      </c>
      <c r="P41" s="101">
        <v>0</v>
      </c>
      <c r="Q41" s="80">
        <v>0</v>
      </c>
      <c r="R41" s="93">
        <v>0</v>
      </c>
      <c r="S41" s="92">
        <f>I41</f>
        <v>1489953</v>
      </c>
      <c r="T41" s="87"/>
      <c r="U41" s="87"/>
      <c r="V41" s="87"/>
    </row>
    <row r="42" spans="1:22" ht="36.75" customHeight="1" x14ac:dyDescent="0.35">
      <c r="A42" s="85" t="s">
        <v>63</v>
      </c>
      <c r="B42" s="77" t="s">
        <v>156</v>
      </c>
      <c r="C42" s="89">
        <v>61250</v>
      </c>
      <c r="D42" s="92">
        <v>14529527</v>
      </c>
      <c r="E42" s="50">
        <v>0</v>
      </c>
      <c r="F42" s="50">
        <v>0</v>
      </c>
      <c r="G42" s="92">
        <f>D42</f>
        <v>14529527</v>
      </c>
      <c r="H42" s="93">
        <f t="shared" ref="H42:H47" si="22">G42/243089931*100</f>
        <v>5.9770172052087176</v>
      </c>
      <c r="I42" s="92">
        <f>G42</f>
        <v>14529527</v>
      </c>
      <c r="J42" s="50">
        <v>0</v>
      </c>
      <c r="K42" s="92">
        <f>I42</f>
        <v>14529527</v>
      </c>
      <c r="L42" s="93">
        <f t="shared" ref="L42:L47" si="23">K42/243089931*100</f>
        <v>5.9770172052087176</v>
      </c>
      <c r="M42" s="80">
        <v>0</v>
      </c>
      <c r="N42" s="93">
        <f t="shared" ref="N42:N49" si="24">K42/243089931*100</f>
        <v>5.9770172052087176</v>
      </c>
      <c r="O42" s="80">
        <v>0</v>
      </c>
      <c r="P42" s="101">
        <v>0</v>
      </c>
      <c r="Q42" s="80">
        <v>0</v>
      </c>
      <c r="R42" s="93">
        <v>0</v>
      </c>
      <c r="S42" s="92">
        <v>13248091</v>
      </c>
      <c r="T42" s="87"/>
      <c r="U42" s="87"/>
      <c r="V42" s="87"/>
    </row>
    <row r="43" spans="1:22" ht="39.75" customHeight="1" x14ac:dyDescent="0.35">
      <c r="A43" s="85" t="s">
        <v>64</v>
      </c>
      <c r="B43" s="77" t="s">
        <v>157</v>
      </c>
      <c r="C43" s="89">
        <v>32</v>
      </c>
      <c r="D43" s="92">
        <v>34944216</v>
      </c>
      <c r="E43" s="50">
        <v>0</v>
      </c>
      <c r="F43" s="50">
        <v>0</v>
      </c>
      <c r="G43" s="92">
        <f>D43</f>
        <v>34944216</v>
      </c>
      <c r="H43" s="93">
        <f t="shared" si="22"/>
        <v>14.375015804336213</v>
      </c>
      <c r="I43" s="92">
        <f>G43</f>
        <v>34944216</v>
      </c>
      <c r="J43" s="50">
        <v>0</v>
      </c>
      <c r="K43" s="92">
        <f>I43</f>
        <v>34944216</v>
      </c>
      <c r="L43" s="93">
        <f t="shared" si="23"/>
        <v>14.375015804336213</v>
      </c>
      <c r="M43" s="80">
        <v>0</v>
      </c>
      <c r="N43" s="93">
        <f t="shared" si="24"/>
        <v>14.375015804336213</v>
      </c>
      <c r="O43" s="80">
        <v>0</v>
      </c>
      <c r="P43" s="101">
        <v>0</v>
      </c>
      <c r="Q43" s="80">
        <v>0</v>
      </c>
      <c r="R43" s="93">
        <v>0</v>
      </c>
      <c r="S43" s="92">
        <v>33849304</v>
      </c>
      <c r="T43" s="87"/>
      <c r="U43" s="87"/>
      <c r="V43" s="87"/>
    </row>
    <row r="44" spans="1:22" x14ac:dyDescent="0.35">
      <c r="A44" s="85"/>
      <c r="B44" s="106" t="s">
        <v>131</v>
      </c>
      <c r="C44" s="50">
        <v>1</v>
      </c>
      <c r="D44" s="50">
        <v>3494340</v>
      </c>
      <c r="E44" s="50">
        <v>0</v>
      </c>
      <c r="F44" s="50">
        <v>0</v>
      </c>
      <c r="G44" s="50">
        <f>D44</f>
        <v>3494340</v>
      </c>
      <c r="H44" s="93">
        <f t="shared" si="22"/>
        <v>1.4374680126097037</v>
      </c>
      <c r="I44" s="50">
        <f>G44</f>
        <v>3494340</v>
      </c>
      <c r="J44" s="50">
        <v>0</v>
      </c>
      <c r="K44" s="50">
        <f>I44</f>
        <v>3494340</v>
      </c>
      <c r="L44" s="93">
        <f t="shared" si="23"/>
        <v>1.4374680126097037</v>
      </c>
      <c r="M44" s="107">
        <v>0</v>
      </c>
      <c r="N44" s="93">
        <f t="shared" ref="N44" si="25">K44/243089931*100</f>
        <v>1.4374680126097037</v>
      </c>
      <c r="O44" s="80">
        <v>0</v>
      </c>
      <c r="P44" s="101">
        <v>0</v>
      </c>
      <c r="Q44" s="80">
        <v>0</v>
      </c>
      <c r="R44" s="93">
        <v>0</v>
      </c>
      <c r="S44" s="50">
        <v>3494340</v>
      </c>
      <c r="T44" s="87"/>
      <c r="U44" s="87"/>
      <c r="V44" s="87"/>
    </row>
    <row r="45" spans="1:22" x14ac:dyDescent="0.35">
      <c r="A45" s="85"/>
      <c r="B45" s="77" t="s">
        <v>121</v>
      </c>
      <c r="C45" s="50">
        <v>1</v>
      </c>
      <c r="D45" s="50">
        <v>6000000</v>
      </c>
      <c r="E45" s="50">
        <v>0</v>
      </c>
      <c r="F45" s="50">
        <v>0</v>
      </c>
      <c r="G45" s="50">
        <v>6000000</v>
      </c>
      <c r="H45" s="93">
        <f t="shared" si="22"/>
        <v>2.4682223468976181</v>
      </c>
      <c r="I45" s="50">
        <v>6000000</v>
      </c>
      <c r="J45" s="50">
        <v>0</v>
      </c>
      <c r="K45" s="50">
        <v>6000000</v>
      </c>
      <c r="L45" s="93">
        <f t="shared" si="23"/>
        <v>2.4682223468976181</v>
      </c>
      <c r="M45" s="107">
        <v>0</v>
      </c>
      <c r="N45" s="93">
        <f t="shared" si="24"/>
        <v>2.4682223468976181</v>
      </c>
      <c r="O45" s="80">
        <v>0</v>
      </c>
      <c r="P45" s="101">
        <v>0</v>
      </c>
      <c r="Q45" s="80">
        <v>0</v>
      </c>
      <c r="R45" s="93">
        <v>0</v>
      </c>
      <c r="S45" s="50">
        <v>6000000</v>
      </c>
      <c r="T45" s="87"/>
      <c r="U45" s="87"/>
      <c r="V45" s="87"/>
    </row>
    <row r="46" spans="1:22" x14ac:dyDescent="0.35">
      <c r="A46" s="85"/>
      <c r="B46" s="77" t="s">
        <v>111</v>
      </c>
      <c r="C46" s="50">
        <v>1</v>
      </c>
      <c r="D46" s="50">
        <v>3363183</v>
      </c>
      <c r="E46" s="50">
        <v>0</v>
      </c>
      <c r="F46" s="50">
        <v>0</v>
      </c>
      <c r="G46" s="50">
        <v>3363183</v>
      </c>
      <c r="H46" s="93">
        <f t="shared" si="22"/>
        <v>1.3835139062176953</v>
      </c>
      <c r="I46" s="50">
        <v>3363183</v>
      </c>
      <c r="J46" s="50">
        <v>0</v>
      </c>
      <c r="K46" s="50">
        <v>3363183</v>
      </c>
      <c r="L46" s="93">
        <f t="shared" si="23"/>
        <v>1.3835139062176953</v>
      </c>
      <c r="M46" s="107">
        <v>0</v>
      </c>
      <c r="N46" s="93">
        <f t="shared" si="24"/>
        <v>1.3835139062176953</v>
      </c>
      <c r="O46" s="80">
        <v>0</v>
      </c>
      <c r="P46" s="101">
        <v>0</v>
      </c>
      <c r="Q46" s="80">
        <v>0</v>
      </c>
      <c r="R46" s="93">
        <v>0</v>
      </c>
      <c r="S46" s="50">
        <v>3363183</v>
      </c>
      <c r="T46" s="87"/>
      <c r="U46" s="87"/>
      <c r="V46" s="87"/>
    </row>
    <row r="47" spans="1:22" ht="15.75" customHeight="1" x14ac:dyDescent="0.35">
      <c r="A47" s="85" t="s">
        <v>66</v>
      </c>
      <c r="B47" s="77" t="s">
        <v>158</v>
      </c>
      <c r="C47" s="50">
        <v>965</v>
      </c>
      <c r="D47" s="50">
        <v>2695132</v>
      </c>
      <c r="E47" s="50">
        <v>0</v>
      </c>
      <c r="F47" s="50">
        <v>0</v>
      </c>
      <c r="G47" s="50">
        <f>D47</f>
        <v>2695132</v>
      </c>
      <c r="H47" s="93">
        <f t="shared" si="22"/>
        <v>1.1086975050398118</v>
      </c>
      <c r="I47" s="50">
        <f>G47</f>
        <v>2695132</v>
      </c>
      <c r="J47" s="50"/>
      <c r="K47" s="50">
        <f>I47</f>
        <v>2695132</v>
      </c>
      <c r="L47" s="93">
        <f t="shared" si="23"/>
        <v>1.1086975050398118</v>
      </c>
      <c r="M47" s="80">
        <v>0</v>
      </c>
      <c r="N47" s="93">
        <f t="shared" si="24"/>
        <v>1.1086975050398118</v>
      </c>
      <c r="O47" s="80">
        <v>0</v>
      </c>
      <c r="P47" s="101">
        <v>0</v>
      </c>
      <c r="Q47" s="80">
        <v>0</v>
      </c>
      <c r="R47" s="93">
        <v>0</v>
      </c>
      <c r="S47" s="50">
        <v>2694158</v>
      </c>
      <c r="T47" s="87"/>
      <c r="U47" s="87"/>
      <c r="V47" s="87"/>
    </row>
    <row r="48" spans="1:22" x14ac:dyDescent="0.35">
      <c r="A48" s="85" t="s">
        <v>140</v>
      </c>
      <c r="B48" s="77" t="s">
        <v>159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93">
        <f t="shared" ref="H48:H50" si="26">G48/243089931*100</f>
        <v>0</v>
      </c>
      <c r="I48" s="50">
        <v>0</v>
      </c>
      <c r="J48" s="50">
        <v>0</v>
      </c>
      <c r="K48" s="50">
        <v>0</v>
      </c>
      <c r="L48" s="93">
        <f t="shared" ref="L48:L50" si="27">K48/243089931*100</f>
        <v>0</v>
      </c>
      <c r="M48" s="80">
        <v>0</v>
      </c>
      <c r="N48" s="93">
        <f t="shared" si="24"/>
        <v>0</v>
      </c>
      <c r="O48" s="80">
        <v>0</v>
      </c>
      <c r="P48" s="101">
        <v>0</v>
      </c>
      <c r="Q48" s="80">
        <v>0</v>
      </c>
      <c r="R48" s="93">
        <v>0</v>
      </c>
      <c r="S48" s="50">
        <v>0</v>
      </c>
      <c r="T48" s="87"/>
      <c r="U48" s="87"/>
      <c r="V48" s="87"/>
    </row>
    <row r="49" spans="1:22" x14ac:dyDescent="0.35">
      <c r="A49" s="85" t="s">
        <v>143</v>
      </c>
      <c r="B49" s="77" t="s">
        <v>160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93">
        <f t="shared" si="26"/>
        <v>0</v>
      </c>
      <c r="I49" s="50">
        <v>0</v>
      </c>
      <c r="J49" s="50">
        <v>0</v>
      </c>
      <c r="K49" s="50">
        <v>0</v>
      </c>
      <c r="L49" s="93">
        <f t="shared" si="27"/>
        <v>0</v>
      </c>
      <c r="M49" s="80">
        <v>0</v>
      </c>
      <c r="N49" s="93">
        <f t="shared" si="24"/>
        <v>0</v>
      </c>
      <c r="O49" s="80">
        <v>0</v>
      </c>
      <c r="P49" s="101">
        <v>0</v>
      </c>
      <c r="Q49" s="80">
        <v>0</v>
      </c>
      <c r="R49" s="93">
        <v>0</v>
      </c>
      <c r="S49" s="50">
        <v>0</v>
      </c>
      <c r="T49" s="87"/>
      <c r="U49" s="87"/>
      <c r="V49" s="87"/>
    </row>
    <row r="50" spans="1:22" x14ac:dyDescent="0.35">
      <c r="A50" s="85" t="s">
        <v>163</v>
      </c>
      <c r="B50" s="77" t="s">
        <v>161</v>
      </c>
      <c r="C50" s="50">
        <v>291</v>
      </c>
      <c r="D50" s="50">
        <v>27058980</v>
      </c>
      <c r="E50" s="50">
        <v>0</v>
      </c>
      <c r="F50" s="50">
        <v>0</v>
      </c>
      <c r="G50" s="50">
        <f>D50</f>
        <v>27058980</v>
      </c>
      <c r="H50" s="93">
        <f t="shared" si="26"/>
        <v>11.131263186709283</v>
      </c>
      <c r="I50" s="50">
        <f>G50</f>
        <v>27058980</v>
      </c>
      <c r="J50" s="50"/>
      <c r="K50" s="50">
        <f>I50</f>
        <v>27058980</v>
      </c>
      <c r="L50" s="93">
        <f t="shared" si="27"/>
        <v>11.131263186709283</v>
      </c>
      <c r="M50" s="80">
        <v>0</v>
      </c>
      <c r="N50" s="93">
        <f t="shared" ref="N50" si="28">K50/243089931*100</f>
        <v>11.131263186709283</v>
      </c>
      <c r="O50" s="80">
        <v>0</v>
      </c>
      <c r="P50" s="101">
        <v>0</v>
      </c>
      <c r="Q50" s="80">
        <v>0</v>
      </c>
      <c r="R50" s="114">
        <v>0</v>
      </c>
      <c r="S50" s="50">
        <v>27008287</v>
      </c>
      <c r="T50" s="87"/>
      <c r="U50" s="87"/>
      <c r="V50" s="87"/>
    </row>
    <row r="51" spans="1:22" x14ac:dyDescent="0.35">
      <c r="A51" s="85"/>
      <c r="B51" s="77" t="s">
        <v>122</v>
      </c>
      <c r="C51" s="108">
        <v>1</v>
      </c>
      <c r="D51" s="108">
        <v>8556444</v>
      </c>
      <c r="E51" s="108">
        <v>0</v>
      </c>
      <c r="F51" s="108">
        <v>0</v>
      </c>
      <c r="G51" s="108">
        <v>8556444</v>
      </c>
      <c r="H51" s="93">
        <f t="shared" ref="H51:H58" si="29">G51/243089931*100</f>
        <v>3.5198677151296738</v>
      </c>
      <c r="I51" s="108">
        <v>8556444</v>
      </c>
      <c r="J51" s="108">
        <v>0</v>
      </c>
      <c r="K51" s="108">
        <v>8556444</v>
      </c>
      <c r="L51" s="93">
        <f t="shared" ref="L51:L58" si="30">K51/243089931*100</f>
        <v>3.5198677151296738</v>
      </c>
      <c r="M51" s="109">
        <v>0</v>
      </c>
      <c r="N51" s="93">
        <f>K51/243089931*100</f>
        <v>3.5198677151296738</v>
      </c>
      <c r="O51" s="109">
        <v>0</v>
      </c>
      <c r="P51" s="110">
        <v>0</v>
      </c>
      <c r="Q51" s="109">
        <v>0</v>
      </c>
      <c r="R51" s="115">
        <v>0</v>
      </c>
      <c r="S51" s="111">
        <v>8556444</v>
      </c>
      <c r="T51" s="87"/>
      <c r="U51" s="87"/>
      <c r="V51" s="87"/>
    </row>
    <row r="52" spans="1:22" x14ac:dyDescent="0.35">
      <c r="A52" s="85"/>
      <c r="B52" s="77" t="s">
        <v>123</v>
      </c>
      <c r="C52" s="108">
        <v>1</v>
      </c>
      <c r="D52" s="108">
        <v>5158248</v>
      </c>
      <c r="E52" s="108">
        <v>0</v>
      </c>
      <c r="F52" s="108">
        <v>0</v>
      </c>
      <c r="G52" s="108">
        <v>5158248</v>
      </c>
      <c r="H52" s="93">
        <f t="shared" si="29"/>
        <v>2.1219504974066572</v>
      </c>
      <c r="I52" s="108">
        <v>5158248</v>
      </c>
      <c r="J52" s="108">
        <v>0</v>
      </c>
      <c r="K52" s="108">
        <v>5158248</v>
      </c>
      <c r="L52" s="93">
        <f t="shared" si="30"/>
        <v>2.1219504974066572</v>
      </c>
      <c r="M52" s="109">
        <v>0</v>
      </c>
      <c r="N52" s="93">
        <f>K52/243089931*100</f>
        <v>2.1219504974066572</v>
      </c>
      <c r="O52" s="109">
        <v>0</v>
      </c>
      <c r="P52" s="110">
        <v>0</v>
      </c>
      <c r="Q52" s="109">
        <v>0</v>
      </c>
      <c r="R52" s="115">
        <v>0</v>
      </c>
      <c r="S52" s="111">
        <v>5158248</v>
      </c>
      <c r="T52" s="87"/>
      <c r="U52" s="87"/>
      <c r="V52" s="87"/>
    </row>
    <row r="53" spans="1:22" ht="26" x14ac:dyDescent="0.35">
      <c r="A53" s="85"/>
      <c r="B53" s="77" t="s">
        <v>124</v>
      </c>
      <c r="C53" s="108">
        <v>1</v>
      </c>
      <c r="D53" s="111">
        <v>5087707</v>
      </c>
      <c r="E53" s="108">
        <v>0</v>
      </c>
      <c r="F53" s="108">
        <v>0</v>
      </c>
      <c r="G53" s="111">
        <v>5087707</v>
      </c>
      <c r="H53" s="93">
        <f t="shared" si="29"/>
        <v>2.0929320186445732</v>
      </c>
      <c r="I53" s="111">
        <v>5087707</v>
      </c>
      <c r="J53" s="108">
        <v>0</v>
      </c>
      <c r="K53" s="111">
        <v>5087707</v>
      </c>
      <c r="L53" s="93">
        <f t="shared" si="30"/>
        <v>2.0929320186445732</v>
      </c>
      <c r="M53" s="109">
        <v>0</v>
      </c>
      <c r="N53" s="93">
        <f>K53/243089931*100</f>
        <v>2.0929320186445732</v>
      </c>
      <c r="O53" s="109">
        <v>0</v>
      </c>
      <c r="P53" s="110">
        <v>0</v>
      </c>
      <c r="Q53" s="109">
        <v>0</v>
      </c>
      <c r="R53" s="115">
        <v>0</v>
      </c>
      <c r="S53" s="111">
        <v>5087707</v>
      </c>
      <c r="T53" s="87"/>
      <c r="U53" s="87"/>
      <c r="V53" s="87"/>
    </row>
    <row r="54" spans="1:22" ht="15" customHeight="1" x14ac:dyDescent="0.35">
      <c r="A54" s="85" t="s">
        <v>164</v>
      </c>
      <c r="B54" s="77" t="s">
        <v>93</v>
      </c>
      <c r="C54" s="108">
        <v>885</v>
      </c>
      <c r="D54" s="112">
        <v>17470820</v>
      </c>
      <c r="E54" s="108">
        <v>0</v>
      </c>
      <c r="F54" s="108">
        <v>0</v>
      </c>
      <c r="G54" s="92">
        <f>D54</f>
        <v>17470820</v>
      </c>
      <c r="H54" s="93">
        <f t="shared" si="29"/>
        <v>7.1869780571043069</v>
      </c>
      <c r="I54" s="92">
        <f>G54</f>
        <v>17470820</v>
      </c>
      <c r="J54" s="108">
        <v>0</v>
      </c>
      <c r="K54" s="112">
        <f>I54</f>
        <v>17470820</v>
      </c>
      <c r="L54" s="93">
        <f t="shared" si="30"/>
        <v>7.1869780571043069</v>
      </c>
      <c r="M54" s="109">
        <v>0</v>
      </c>
      <c r="N54" s="93">
        <f t="shared" ref="N54:N60" si="31">K54/243089931*100</f>
        <v>7.1869780571043069</v>
      </c>
      <c r="O54" s="109">
        <v>0</v>
      </c>
      <c r="P54" s="110">
        <v>0</v>
      </c>
      <c r="Q54" s="109">
        <v>0</v>
      </c>
      <c r="R54" s="115">
        <v>0</v>
      </c>
      <c r="S54" s="92">
        <v>17470589</v>
      </c>
      <c r="T54" s="87"/>
      <c r="U54" s="87"/>
      <c r="V54" s="87"/>
    </row>
    <row r="55" spans="1:22" x14ac:dyDescent="0.35">
      <c r="A55" s="85"/>
      <c r="B55" s="77" t="s">
        <v>112</v>
      </c>
      <c r="C55" s="112">
        <v>3</v>
      </c>
      <c r="D55" s="112">
        <v>3204</v>
      </c>
      <c r="E55" s="108">
        <v>0</v>
      </c>
      <c r="F55" s="108">
        <v>0</v>
      </c>
      <c r="G55" s="112">
        <f>D55</f>
        <v>3204</v>
      </c>
      <c r="H55" s="93">
        <f t="shared" si="29"/>
        <v>1.318030733243328E-3</v>
      </c>
      <c r="I55" s="112">
        <f>G55</f>
        <v>3204</v>
      </c>
      <c r="J55" s="108">
        <v>0</v>
      </c>
      <c r="K55" s="112">
        <f>I55</f>
        <v>3204</v>
      </c>
      <c r="L55" s="93">
        <f t="shared" si="30"/>
        <v>1.318030733243328E-3</v>
      </c>
      <c r="M55" s="109">
        <v>0</v>
      </c>
      <c r="N55" s="93">
        <f>K55/243089931*100</f>
        <v>1.318030733243328E-3</v>
      </c>
      <c r="O55" s="109">
        <v>0</v>
      </c>
      <c r="P55" s="110">
        <v>0</v>
      </c>
      <c r="Q55" s="109">
        <v>0</v>
      </c>
      <c r="R55" s="115">
        <v>0</v>
      </c>
      <c r="S55" s="92">
        <v>3204</v>
      </c>
      <c r="T55" s="87"/>
      <c r="U55" s="87"/>
      <c r="V55" s="87"/>
    </row>
    <row r="56" spans="1:22" x14ac:dyDescent="0.35">
      <c r="A56" s="85"/>
      <c r="B56" s="77" t="s">
        <v>222</v>
      </c>
      <c r="C56" s="112" t="s">
        <v>223</v>
      </c>
      <c r="D56" s="112">
        <v>1262</v>
      </c>
      <c r="E56" s="108">
        <v>0</v>
      </c>
      <c r="F56" s="108">
        <v>0</v>
      </c>
      <c r="G56" s="112">
        <f>D56</f>
        <v>1262</v>
      </c>
      <c r="H56" s="93">
        <f t="shared" ref="H56" si="32">G56/243089931*100</f>
        <v>5.1914943363079891E-4</v>
      </c>
      <c r="I56" s="112">
        <f>G56</f>
        <v>1262</v>
      </c>
      <c r="J56" s="108">
        <v>0</v>
      </c>
      <c r="K56" s="112">
        <f>I56</f>
        <v>1262</v>
      </c>
      <c r="L56" s="93">
        <f t="shared" ref="L56" si="33">K56/243089931*100</f>
        <v>5.1914943363079891E-4</v>
      </c>
      <c r="M56" s="109">
        <v>0</v>
      </c>
      <c r="N56" s="93">
        <f>K56/243089931*100</f>
        <v>5.1914943363079891E-4</v>
      </c>
      <c r="O56" s="109">
        <v>0</v>
      </c>
      <c r="P56" s="110">
        <v>0</v>
      </c>
      <c r="Q56" s="109">
        <v>0</v>
      </c>
      <c r="R56" s="115">
        <v>0</v>
      </c>
      <c r="S56" s="92">
        <v>1077</v>
      </c>
      <c r="T56" s="87"/>
      <c r="U56" s="87"/>
      <c r="V56" s="87"/>
    </row>
    <row r="57" spans="1:22" x14ac:dyDescent="0.35">
      <c r="A57" s="85"/>
      <c r="B57" s="77" t="s">
        <v>165</v>
      </c>
      <c r="C57" s="112">
        <v>41</v>
      </c>
      <c r="D57" s="112">
        <v>1870568</v>
      </c>
      <c r="E57" s="108">
        <v>0</v>
      </c>
      <c r="F57" s="108">
        <v>0</v>
      </c>
      <c r="G57" s="112">
        <f>D57</f>
        <v>1870568</v>
      </c>
      <c r="H57" s="93">
        <f t="shared" si="29"/>
        <v>0.76949628983193052</v>
      </c>
      <c r="I57" s="112">
        <f>G57</f>
        <v>1870568</v>
      </c>
      <c r="J57" s="108">
        <v>0</v>
      </c>
      <c r="K57" s="112">
        <f>I57</f>
        <v>1870568</v>
      </c>
      <c r="L57" s="93">
        <f t="shared" si="30"/>
        <v>0.76949628983193052</v>
      </c>
      <c r="M57" s="109">
        <v>0</v>
      </c>
      <c r="N57" s="93">
        <f>K57/243089931*100</f>
        <v>0.76949628983193052</v>
      </c>
      <c r="O57" s="109">
        <v>0</v>
      </c>
      <c r="P57" s="110">
        <v>0</v>
      </c>
      <c r="Q57" s="109">
        <v>0</v>
      </c>
      <c r="R57" s="115">
        <v>0</v>
      </c>
      <c r="S57" s="92">
        <v>1870568</v>
      </c>
      <c r="T57" s="87"/>
      <c r="U57" s="87"/>
      <c r="V57" s="87"/>
    </row>
    <row r="58" spans="1:22" x14ac:dyDescent="0.35">
      <c r="A58" s="85"/>
      <c r="B58" s="77" t="s">
        <v>113</v>
      </c>
      <c r="C58" s="112">
        <v>833</v>
      </c>
      <c r="D58" s="112">
        <v>14371633</v>
      </c>
      <c r="E58" s="108">
        <v>0</v>
      </c>
      <c r="F58" s="108">
        <v>0</v>
      </c>
      <c r="G58" s="112">
        <f>D58</f>
        <v>14371633</v>
      </c>
      <c r="H58" s="93">
        <f t="shared" si="29"/>
        <v>5.9120642886685424</v>
      </c>
      <c r="I58" s="112">
        <f>G58</f>
        <v>14371633</v>
      </c>
      <c r="J58" s="108">
        <v>0</v>
      </c>
      <c r="K58" s="112">
        <f>I58</f>
        <v>14371633</v>
      </c>
      <c r="L58" s="93">
        <f t="shared" si="30"/>
        <v>5.9120642886685424</v>
      </c>
      <c r="M58" s="109">
        <v>0</v>
      </c>
      <c r="N58" s="93">
        <f t="shared" si="31"/>
        <v>5.9120642886685424</v>
      </c>
      <c r="O58" s="109">
        <v>0</v>
      </c>
      <c r="P58" s="110">
        <v>0</v>
      </c>
      <c r="Q58" s="109">
        <v>0</v>
      </c>
      <c r="R58" s="115">
        <v>0</v>
      </c>
      <c r="S58" s="92">
        <v>14371587</v>
      </c>
      <c r="T58" s="87"/>
      <c r="U58" s="87"/>
      <c r="V58" s="87"/>
    </row>
    <row r="59" spans="1:22" x14ac:dyDescent="0.35">
      <c r="A59" s="85"/>
      <c r="B59" s="77" t="s">
        <v>111</v>
      </c>
      <c r="C59" s="113" t="s">
        <v>223</v>
      </c>
      <c r="D59" s="113">
        <v>11119635</v>
      </c>
      <c r="E59" s="108">
        <v>0</v>
      </c>
      <c r="F59" s="108">
        <v>0</v>
      </c>
      <c r="G59" s="108">
        <v>11119635</v>
      </c>
      <c r="H59" s="93">
        <f t="shared" ref="H59:H60" si="34">G59/243089931*100</f>
        <v>4.5742885993908153</v>
      </c>
      <c r="I59" s="108">
        <v>11119635</v>
      </c>
      <c r="J59" s="108">
        <v>0</v>
      </c>
      <c r="K59" s="108">
        <v>11119635</v>
      </c>
      <c r="L59" s="93">
        <f t="shared" ref="L59:L60" si="35">K59/243089931*100</f>
        <v>4.5742885993908153</v>
      </c>
      <c r="M59" s="109">
        <v>0</v>
      </c>
      <c r="N59" s="93">
        <f t="shared" si="31"/>
        <v>4.5742885993908153</v>
      </c>
      <c r="O59" s="109">
        <v>0</v>
      </c>
      <c r="P59" s="110">
        <v>0</v>
      </c>
      <c r="Q59" s="109">
        <v>0</v>
      </c>
      <c r="R59" s="115">
        <v>0</v>
      </c>
      <c r="S59" s="113">
        <v>11119635</v>
      </c>
      <c r="T59" s="87"/>
      <c r="U59" s="87"/>
      <c r="V59" s="87"/>
    </row>
    <row r="60" spans="1:22" x14ac:dyDescent="0.35">
      <c r="A60" s="85"/>
      <c r="B60" s="77" t="s">
        <v>114</v>
      </c>
      <c r="C60" s="112">
        <v>6</v>
      </c>
      <c r="D60" s="112">
        <v>153</v>
      </c>
      <c r="E60" s="108">
        <v>0</v>
      </c>
      <c r="F60" s="108">
        <v>0</v>
      </c>
      <c r="G60" s="112">
        <f>D60</f>
        <v>153</v>
      </c>
      <c r="H60" s="93">
        <f t="shared" si="34"/>
        <v>6.2939669845889248E-5</v>
      </c>
      <c r="I60" s="112">
        <f>G60</f>
        <v>153</v>
      </c>
      <c r="J60" s="108">
        <v>0</v>
      </c>
      <c r="K60" s="112">
        <f>I60</f>
        <v>153</v>
      </c>
      <c r="L60" s="93">
        <f t="shared" si="35"/>
        <v>6.2939669845889248E-5</v>
      </c>
      <c r="M60" s="109">
        <v>0</v>
      </c>
      <c r="N60" s="93">
        <f t="shared" si="31"/>
        <v>6.2939669845889248E-5</v>
      </c>
      <c r="O60" s="109">
        <v>0</v>
      </c>
      <c r="P60" s="110">
        <v>0</v>
      </c>
      <c r="Q60" s="109">
        <v>0</v>
      </c>
      <c r="R60" s="115">
        <v>0</v>
      </c>
      <c r="S60" s="112">
        <v>153</v>
      </c>
      <c r="T60" s="87"/>
      <c r="U60" s="87"/>
      <c r="V60" s="87"/>
    </row>
    <row r="61" spans="1:22" x14ac:dyDescent="0.35">
      <c r="A61" s="85"/>
      <c r="B61" s="77" t="s">
        <v>189</v>
      </c>
      <c r="C61" s="112">
        <v>1</v>
      </c>
      <c r="D61" s="112">
        <v>1224000</v>
      </c>
      <c r="E61" s="108">
        <v>0</v>
      </c>
      <c r="F61" s="108">
        <v>0</v>
      </c>
      <c r="G61" s="112">
        <f>D61</f>
        <v>1224000</v>
      </c>
      <c r="H61" s="93">
        <f t="shared" ref="H61" si="36">G61/243089931*100</f>
        <v>0.50351735876711401</v>
      </c>
      <c r="I61" s="112">
        <f>G61</f>
        <v>1224000</v>
      </c>
      <c r="J61" s="108">
        <v>0</v>
      </c>
      <c r="K61" s="112">
        <f>I61</f>
        <v>1224000</v>
      </c>
      <c r="L61" s="93">
        <f t="shared" ref="L61" si="37">K61/243089931*100</f>
        <v>0.50351735876711401</v>
      </c>
      <c r="M61" s="109">
        <v>0</v>
      </c>
      <c r="N61" s="93">
        <f t="shared" ref="N61" si="38">K61/243089931*100</f>
        <v>0.50351735876711401</v>
      </c>
      <c r="O61" s="109">
        <v>0</v>
      </c>
      <c r="P61" s="110">
        <v>0</v>
      </c>
      <c r="Q61" s="109">
        <v>0</v>
      </c>
      <c r="R61" s="115">
        <v>0</v>
      </c>
      <c r="S61" s="112">
        <v>1224000</v>
      </c>
      <c r="T61" s="87"/>
      <c r="U61" s="87"/>
      <c r="V61" s="87"/>
    </row>
    <row r="62" spans="1:22" s="9" customFormat="1" x14ac:dyDescent="0.35">
      <c r="A62" s="84"/>
      <c r="B62" s="30" t="s">
        <v>166</v>
      </c>
      <c r="C62" s="96">
        <f t="shared" ref="C62:S62" si="39">C41+C42+C43+C47+C50+C54</f>
        <v>63424</v>
      </c>
      <c r="D62" s="96">
        <f t="shared" si="39"/>
        <v>98188628</v>
      </c>
      <c r="E62" s="96">
        <f t="shared" si="39"/>
        <v>0</v>
      </c>
      <c r="F62" s="96">
        <f t="shared" si="39"/>
        <v>0</v>
      </c>
      <c r="G62" s="96">
        <f t="shared" si="39"/>
        <v>98188628</v>
      </c>
      <c r="H62" s="97">
        <f t="shared" si="39"/>
        <v>40.391894306802854</v>
      </c>
      <c r="I62" s="96">
        <f t="shared" si="39"/>
        <v>98188628</v>
      </c>
      <c r="J62" s="96">
        <f t="shared" si="39"/>
        <v>0</v>
      </c>
      <c r="K62" s="96">
        <f t="shared" si="39"/>
        <v>98188628</v>
      </c>
      <c r="L62" s="97">
        <f t="shared" si="39"/>
        <v>40.391894306802854</v>
      </c>
      <c r="M62" s="98">
        <f t="shared" si="39"/>
        <v>0</v>
      </c>
      <c r="N62" s="97">
        <f t="shared" si="39"/>
        <v>40.391894306802854</v>
      </c>
      <c r="O62" s="98">
        <f t="shared" si="39"/>
        <v>0</v>
      </c>
      <c r="P62" s="97">
        <f t="shared" si="39"/>
        <v>0</v>
      </c>
      <c r="Q62" s="98">
        <f t="shared" si="39"/>
        <v>0</v>
      </c>
      <c r="R62" s="98">
        <f t="shared" si="39"/>
        <v>0</v>
      </c>
      <c r="S62" s="96">
        <f t="shared" si="39"/>
        <v>95760382</v>
      </c>
      <c r="T62" s="103"/>
      <c r="U62" s="103"/>
      <c r="V62" s="103"/>
    </row>
    <row r="63" spans="1:22" s="9" customFormat="1" ht="28.5" customHeight="1" x14ac:dyDescent="0.35">
      <c r="A63" s="84"/>
      <c r="B63" s="30" t="s">
        <v>116</v>
      </c>
      <c r="C63" s="96">
        <f t="shared" ref="C63:S63" si="40">C20+C29+C34+C62</f>
        <v>63565</v>
      </c>
      <c r="D63" s="96">
        <f t="shared" si="40"/>
        <v>111593386</v>
      </c>
      <c r="E63" s="96">
        <f t="shared" si="40"/>
        <v>0</v>
      </c>
      <c r="F63" s="96">
        <f t="shared" si="40"/>
        <v>0</v>
      </c>
      <c r="G63" s="96">
        <f t="shared" si="40"/>
        <v>111593386</v>
      </c>
      <c r="H63" s="97">
        <f t="shared" si="40"/>
        <v>45.90621484852862</v>
      </c>
      <c r="I63" s="96">
        <f t="shared" si="40"/>
        <v>111593386</v>
      </c>
      <c r="J63" s="96">
        <f t="shared" si="40"/>
        <v>0</v>
      </c>
      <c r="K63" s="96">
        <f t="shared" si="40"/>
        <v>111593386</v>
      </c>
      <c r="L63" s="97">
        <f t="shared" si="40"/>
        <v>45.90621484852862</v>
      </c>
      <c r="M63" s="98">
        <f t="shared" si="40"/>
        <v>0</v>
      </c>
      <c r="N63" s="97">
        <f t="shared" si="40"/>
        <v>45.90621484852862</v>
      </c>
      <c r="O63" s="98">
        <f t="shared" si="40"/>
        <v>0</v>
      </c>
      <c r="P63" s="98">
        <f t="shared" si="40"/>
        <v>0</v>
      </c>
      <c r="Q63" s="98">
        <f t="shared" si="40"/>
        <v>0</v>
      </c>
      <c r="R63" s="98">
        <f t="shared" si="40"/>
        <v>0</v>
      </c>
      <c r="S63" s="96">
        <f t="shared" si="40"/>
        <v>109161206</v>
      </c>
      <c r="T63" s="103"/>
      <c r="U63" s="103"/>
      <c r="V63" s="103"/>
    </row>
    <row r="65" spans="2:5" ht="17.25" customHeight="1" x14ac:dyDescent="0.35">
      <c r="B65" s="157" t="s">
        <v>169</v>
      </c>
      <c r="C65" s="157"/>
      <c r="D65" s="157"/>
      <c r="E65" s="157"/>
    </row>
    <row r="66" spans="2:5" ht="17.25" customHeight="1" x14ac:dyDescent="0.35">
      <c r="B66" s="157" t="s">
        <v>170</v>
      </c>
      <c r="C66" s="157"/>
      <c r="D66" s="157"/>
      <c r="E66" s="157"/>
    </row>
  </sheetData>
  <sheetProtection formatCells="0" formatColumns="0" formatRows="0" insertColumns="0" insertRows="0" insertHyperlinks="0" deleteColumns="0" deleteRows="0" sort="0" autoFilter="0" pivotTables="0"/>
  <mergeCells count="28">
    <mergeCell ref="B65:E65"/>
    <mergeCell ref="B66:E66"/>
    <mergeCell ref="T5:V5"/>
    <mergeCell ref="T6:V6"/>
    <mergeCell ref="A1:V1"/>
    <mergeCell ref="A2:V2"/>
    <mergeCell ref="A3:V3"/>
    <mergeCell ref="A4:V4"/>
    <mergeCell ref="N5:N7"/>
    <mergeCell ref="O5:P5"/>
    <mergeCell ref="Q5:R5"/>
    <mergeCell ref="S5:S7"/>
    <mergeCell ref="I6:K6"/>
    <mergeCell ref="L6:L7"/>
    <mergeCell ref="O6:O7"/>
    <mergeCell ref="P6:P7"/>
    <mergeCell ref="R6:R7"/>
    <mergeCell ref="M5:M7"/>
    <mergeCell ref="Q6:Q7"/>
    <mergeCell ref="A5:A7"/>
    <mergeCell ref="B5:B7"/>
    <mergeCell ref="C5:C7"/>
    <mergeCell ref="D5:D7"/>
    <mergeCell ref="E5:E7"/>
    <mergeCell ref="F5:F7"/>
    <mergeCell ref="G5:G7"/>
    <mergeCell ref="H5:H7"/>
    <mergeCell ref="I5:L5"/>
  </mergeCells>
  <dataValidations count="4">
    <dataValidation type="whole" operator="lessThanOrEqual" allowBlank="1" showInputMessage="1" showErrorMessage="1" sqref="Q9" xr:uid="{00000000-0002-0000-0300-000000000000}">
      <formula1>D9</formula1>
    </dataValidation>
    <dataValidation type="whole" operator="greaterThan" allowBlank="1" showInputMessage="1" showErrorMessage="1" sqref="C9" xr:uid="{00000000-0002-0000-0300-000001000000}">
      <formula1>0</formula1>
    </dataValidation>
    <dataValidation type="whole" operator="greaterThanOrEqual" allowBlank="1" showInputMessage="1" showErrorMessage="1" sqref="D9:F9 J9 D25:D26" xr:uid="{00000000-0002-0000-0300-000002000000}">
      <formula1>0</formula1>
    </dataValidation>
    <dataValidation type="whole" operator="lessThanOrEqual" allowBlank="1" showInputMessage="1" showErrorMessage="1" sqref="O9" xr:uid="{00000000-0002-0000-0300-000003000000}">
      <formula1>#REF!</formula1>
    </dataValidation>
  </dataValidations>
  <hyperlinks>
    <hyperlink ref="B37" location="'Directors and their relatives'!A1" display="Directors and their relatives (excluding independent directors and nominee directors)" xr:uid="{00000000-0004-0000-0300-000000000000}"/>
    <hyperlink ref="B38" location="'Key Managerial Personnel'!F12" display="Key Managerial Personnel" xr:uid="{00000000-0004-0000-0300-000001000000}"/>
    <hyperlink ref="B39" location="'Relatives of promoters'!F12" display="Relatives of promoters (other than ‘immediate relatives’ of promoters disclosed under ‘Promoter and Promoter Group’ category)" xr:uid="{00000000-0004-0000-0300-000002000000}"/>
    <hyperlink ref="B40" location="'Trusts where any person'!F12" display="Trusts where any person belonging to 'Promoter and Promoter Group' category is 'trustee', 'beneficiary', or 'author of the trust'" xr:uid="{00000000-0004-0000-0300-000003000000}"/>
    <hyperlink ref="B41" location="'Investor Education'!F12" display="Investor Education and Protection Fund (IEPF)" xr:uid="{00000000-0004-0000-0300-000004000000}"/>
    <hyperlink ref="B65" location="PAC_Public!F12" display="Details of the shareholders acting as persons in Concert for Public" xr:uid="{00000000-0004-0000-0300-000005000000}"/>
    <hyperlink ref="B66" location="Unclaimed_Public!A1" display="Details of Shares which remain unclaimed for Public" xr:uid="{00000000-0004-0000-0300-000006000000}"/>
  </hyperlinks>
  <pageMargins left="0.25" right="0.25" top="0.75" bottom="0.75" header="0.3" footer="0.3"/>
  <pageSetup paperSize="9"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6"/>
  <sheetViews>
    <sheetView zoomScaleNormal="100" workbookViewId="0">
      <selection sqref="A1:T1"/>
    </sheetView>
  </sheetViews>
  <sheetFormatPr defaultColWidth="9.1796875" defaultRowHeight="13" x14ac:dyDescent="0.3"/>
  <cols>
    <col min="1" max="1" width="2.7265625" style="5" customWidth="1"/>
    <col min="2" max="2" width="24.81640625" style="5" customWidth="1"/>
    <col min="3" max="3" width="3.81640625" style="5" bestFit="1" customWidth="1"/>
    <col min="4" max="4" width="9" style="5" bestFit="1" customWidth="1"/>
    <col min="5" max="5" width="8.453125" style="5" bestFit="1" customWidth="1"/>
    <col min="6" max="6" width="9" style="5" bestFit="1" customWidth="1"/>
    <col min="7" max="7" width="8.26953125" style="5" bestFit="1" customWidth="1"/>
    <col min="8" max="8" width="9.1796875" style="5"/>
    <col min="9" max="9" width="9" style="5" bestFit="1" customWidth="1"/>
    <col min="10" max="11" width="4.1796875" style="5" bestFit="1" customWidth="1"/>
    <col min="12" max="12" width="4.26953125" style="5" bestFit="1" customWidth="1"/>
    <col min="13" max="13" width="22.54296875" style="5" bestFit="1" customWidth="1"/>
    <col min="14" max="14" width="9" style="5" bestFit="1" customWidth="1"/>
    <col min="15" max="15" width="21.1796875" style="5" customWidth="1"/>
    <col min="16" max="16" width="3.26953125" style="5" bestFit="1" customWidth="1"/>
    <col min="17" max="17" width="8.7265625" style="5" bestFit="1" customWidth="1"/>
    <col min="18" max="18" width="8.26953125" style="5" bestFit="1" customWidth="1"/>
    <col min="19" max="20" width="8.7265625" style="5" bestFit="1" customWidth="1"/>
    <col min="21" max="16384" width="9.1796875" style="5"/>
  </cols>
  <sheetData>
    <row r="1" spans="1:20" ht="15" customHeight="1" x14ac:dyDescent="0.3">
      <c r="A1" s="172" t="s">
        <v>69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ht="15" customHeight="1" x14ac:dyDescent="0.3">
      <c r="A2" s="175" t="s">
        <v>47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/>
    </row>
    <row r="3" spans="1:20" ht="15" customHeight="1" x14ac:dyDescent="0.3">
      <c r="A3" s="175" t="s">
        <v>229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7"/>
    </row>
    <row r="4" spans="1:20" ht="15" customHeight="1" x14ac:dyDescent="0.3">
      <c r="A4" s="175" t="s">
        <v>48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7"/>
    </row>
    <row r="5" spans="1:20" s="6" customFormat="1" ht="15" customHeight="1" x14ac:dyDescent="0.3">
      <c r="A5" s="178"/>
      <c r="B5" s="179" t="s">
        <v>70</v>
      </c>
      <c r="C5" s="179" t="s">
        <v>71</v>
      </c>
      <c r="D5" s="179" t="s">
        <v>72</v>
      </c>
      <c r="E5" s="179" t="s">
        <v>2</v>
      </c>
      <c r="F5" s="179" t="s">
        <v>73</v>
      </c>
      <c r="G5" s="179" t="s">
        <v>74</v>
      </c>
      <c r="H5" s="179" t="s">
        <v>75</v>
      </c>
      <c r="I5" s="181" t="s">
        <v>76</v>
      </c>
      <c r="J5" s="179" t="s">
        <v>49</v>
      </c>
      <c r="K5" s="179"/>
      <c r="L5" s="179"/>
      <c r="M5" s="179"/>
      <c r="N5" s="179" t="s">
        <v>77</v>
      </c>
      <c r="O5" s="181" t="s">
        <v>78</v>
      </c>
      <c r="P5" s="179" t="s">
        <v>12</v>
      </c>
      <c r="Q5" s="179"/>
      <c r="R5" s="179" t="s">
        <v>13</v>
      </c>
      <c r="S5" s="179"/>
      <c r="T5" s="182" t="s">
        <v>79</v>
      </c>
    </row>
    <row r="6" spans="1:20" s="6" customFormat="1" ht="15" customHeight="1" x14ac:dyDescent="0.3">
      <c r="A6" s="178"/>
      <c r="B6" s="180"/>
      <c r="C6" s="179"/>
      <c r="D6" s="179"/>
      <c r="E6" s="179"/>
      <c r="F6" s="179"/>
      <c r="G6" s="179"/>
      <c r="H6" s="179"/>
      <c r="I6" s="181"/>
      <c r="J6" s="179" t="s">
        <v>80</v>
      </c>
      <c r="K6" s="179"/>
      <c r="L6" s="179"/>
      <c r="M6" s="181" t="s">
        <v>81</v>
      </c>
      <c r="N6" s="179"/>
      <c r="O6" s="181"/>
      <c r="P6" s="179" t="s">
        <v>82</v>
      </c>
      <c r="Q6" s="181" t="s">
        <v>21</v>
      </c>
      <c r="R6" s="179" t="s">
        <v>117</v>
      </c>
      <c r="S6" s="181" t="s">
        <v>106</v>
      </c>
      <c r="T6" s="182"/>
    </row>
    <row r="7" spans="1:20" s="6" customFormat="1" ht="75" customHeight="1" x14ac:dyDescent="0.3">
      <c r="A7" s="178"/>
      <c r="B7" s="180"/>
      <c r="C7" s="179"/>
      <c r="D7" s="179"/>
      <c r="E7" s="179"/>
      <c r="F7" s="179"/>
      <c r="G7" s="179"/>
      <c r="H7" s="179"/>
      <c r="I7" s="181"/>
      <c r="J7" s="116" t="s">
        <v>84</v>
      </c>
      <c r="K7" s="116" t="s">
        <v>85</v>
      </c>
      <c r="L7" s="116" t="s">
        <v>19</v>
      </c>
      <c r="M7" s="181"/>
      <c r="N7" s="179"/>
      <c r="O7" s="181"/>
      <c r="P7" s="179"/>
      <c r="Q7" s="181"/>
      <c r="R7" s="179"/>
      <c r="S7" s="181"/>
      <c r="T7" s="182"/>
    </row>
    <row r="8" spans="1:20" ht="26" x14ac:dyDescent="0.3">
      <c r="A8" s="117">
        <v>1</v>
      </c>
      <c r="B8" s="118" t="s">
        <v>167</v>
      </c>
      <c r="C8" s="118"/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v>0</v>
      </c>
      <c r="R8" s="119">
        <v>0</v>
      </c>
      <c r="S8" s="119">
        <v>0</v>
      </c>
      <c r="T8" s="120">
        <v>0</v>
      </c>
    </row>
    <row r="9" spans="1:20" ht="65" x14ac:dyDescent="0.3">
      <c r="A9" s="117">
        <v>2</v>
      </c>
      <c r="B9" s="118" t="s">
        <v>168</v>
      </c>
      <c r="C9" s="118"/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v>0</v>
      </c>
      <c r="R9" s="119">
        <v>0</v>
      </c>
      <c r="S9" s="119">
        <v>0</v>
      </c>
      <c r="T9" s="120">
        <v>0</v>
      </c>
    </row>
    <row r="10" spans="1:20" s="22" customFormat="1" ht="39.5" thickBot="1" x14ac:dyDescent="0.35">
      <c r="A10" s="121"/>
      <c r="B10" s="122" t="s">
        <v>118</v>
      </c>
      <c r="C10" s="122"/>
      <c r="D10" s="123">
        <v>0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4">
        <v>0</v>
      </c>
    </row>
    <row r="13" spans="1:20" ht="18.5" customHeight="1" x14ac:dyDescent="0.3">
      <c r="B13" s="183" t="s">
        <v>171</v>
      </c>
      <c r="C13" s="183"/>
      <c r="D13" s="183"/>
      <c r="E13" s="183"/>
      <c r="F13" s="183"/>
      <c r="G13" s="183"/>
      <c r="H13" s="183"/>
      <c r="I13" s="183"/>
    </row>
    <row r="14" spans="1:20" ht="62" customHeight="1" x14ac:dyDescent="0.3">
      <c r="B14" s="184" t="s">
        <v>172</v>
      </c>
      <c r="C14" s="184"/>
      <c r="D14" s="184"/>
      <c r="E14" s="184" t="s">
        <v>173</v>
      </c>
      <c r="F14" s="184"/>
      <c r="G14" s="184" t="s">
        <v>174</v>
      </c>
      <c r="H14" s="184"/>
      <c r="I14" s="184"/>
    </row>
    <row r="15" spans="1:20" x14ac:dyDescent="0.3">
      <c r="B15" s="167" t="s">
        <v>175</v>
      </c>
      <c r="C15" s="167"/>
      <c r="D15" s="167"/>
      <c r="E15" s="168">
        <v>100</v>
      </c>
      <c r="F15" s="168"/>
      <c r="G15" s="168">
        <v>28.42</v>
      </c>
      <c r="H15" s="168"/>
      <c r="I15" s="168"/>
    </row>
    <row r="16" spans="1:20" x14ac:dyDescent="0.3">
      <c r="B16" s="167" t="s">
        <v>176</v>
      </c>
      <c r="C16" s="167"/>
      <c r="D16" s="167"/>
      <c r="E16" s="168">
        <v>100</v>
      </c>
      <c r="F16" s="168"/>
      <c r="G16" s="168">
        <v>28.82</v>
      </c>
      <c r="H16" s="168"/>
      <c r="I16" s="168"/>
    </row>
    <row r="17" spans="2:9" x14ac:dyDescent="0.3">
      <c r="B17" s="167" t="s">
        <v>177</v>
      </c>
      <c r="C17" s="167"/>
      <c r="D17" s="167"/>
      <c r="E17" s="168">
        <v>100</v>
      </c>
      <c r="F17" s="168"/>
      <c r="G17" s="169">
        <v>28.85</v>
      </c>
      <c r="H17" s="170"/>
      <c r="I17" s="171"/>
    </row>
    <row r="18" spans="2:9" x14ac:dyDescent="0.3">
      <c r="B18" s="167" t="s">
        <v>178</v>
      </c>
      <c r="C18" s="167"/>
      <c r="D18" s="167"/>
      <c r="E18" s="168">
        <v>100</v>
      </c>
      <c r="F18" s="168"/>
      <c r="G18" s="169">
        <v>28.68</v>
      </c>
      <c r="H18" s="170"/>
      <c r="I18" s="171"/>
    </row>
    <row r="19" spans="2:9" x14ac:dyDescent="0.3">
      <c r="B19" s="167" t="s">
        <v>179</v>
      </c>
      <c r="C19" s="167"/>
      <c r="D19" s="167"/>
      <c r="E19" s="168">
        <v>100</v>
      </c>
      <c r="F19" s="168"/>
      <c r="G19" s="169">
        <v>28.62</v>
      </c>
      <c r="H19" s="170"/>
      <c r="I19" s="171"/>
    </row>
    <row r="20" spans="2:9" ht="14.5" customHeight="1" x14ac:dyDescent="0.3">
      <c r="B20" s="166" t="s">
        <v>225</v>
      </c>
      <c r="C20" s="166"/>
      <c r="D20" s="166"/>
      <c r="E20" s="166"/>
      <c r="F20" s="166"/>
      <c r="G20" s="166"/>
      <c r="H20" s="166"/>
      <c r="I20" s="166"/>
    </row>
    <row r="21" spans="2:9" x14ac:dyDescent="0.3">
      <c r="B21" s="166"/>
      <c r="C21" s="166"/>
      <c r="D21" s="166"/>
      <c r="E21" s="166"/>
      <c r="F21" s="166"/>
      <c r="G21" s="166"/>
      <c r="H21" s="166"/>
      <c r="I21" s="166"/>
    </row>
    <row r="22" spans="2:9" x14ac:dyDescent="0.3">
      <c r="B22" s="166"/>
      <c r="C22" s="166"/>
      <c r="D22" s="166"/>
      <c r="E22" s="166"/>
      <c r="F22" s="166"/>
      <c r="G22" s="166"/>
      <c r="H22" s="166"/>
      <c r="I22" s="166"/>
    </row>
    <row r="23" spans="2:9" x14ac:dyDescent="0.3">
      <c r="B23" s="166"/>
      <c r="C23" s="166"/>
      <c r="D23" s="166"/>
      <c r="E23" s="166"/>
      <c r="F23" s="166"/>
      <c r="G23" s="166"/>
      <c r="H23" s="166"/>
      <c r="I23" s="166"/>
    </row>
    <row r="24" spans="2:9" x14ac:dyDescent="0.3">
      <c r="B24" s="166"/>
      <c r="C24" s="166"/>
      <c r="D24" s="166"/>
      <c r="E24" s="166"/>
      <c r="F24" s="166"/>
      <c r="G24" s="166"/>
      <c r="H24" s="166"/>
      <c r="I24" s="166"/>
    </row>
    <row r="25" spans="2:9" x14ac:dyDescent="0.3">
      <c r="B25" s="166"/>
      <c r="C25" s="166"/>
      <c r="D25" s="166"/>
      <c r="E25" s="166"/>
      <c r="F25" s="166"/>
      <c r="G25" s="166"/>
      <c r="H25" s="166"/>
      <c r="I25" s="166"/>
    </row>
    <row r="26" spans="2:9" ht="15" customHeight="1" x14ac:dyDescent="0.3">
      <c r="B26" s="166"/>
      <c r="C26" s="166"/>
      <c r="D26" s="166"/>
      <c r="E26" s="166"/>
      <c r="F26" s="166"/>
      <c r="G26" s="166"/>
      <c r="H26" s="166"/>
      <c r="I26" s="166"/>
    </row>
  </sheetData>
  <sheetProtection formatCells="0" formatColumns="0" formatRows="0" insertColumns="0" insertRows="0" insertHyperlinks="0" deleteColumns="0" deleteRows="0" sort="0" autoFilter="0" pivotTables="0"/>
  <mergeCells count="45">
    <mergeCell ref="B16:D16"/>
    <mergeCell ref="E16:F16"/>
    <mergeCell ref="G16:I16"/>
    <mergeCell ref="B19:D19"/>
    <mergeCell ref="B13:I13"/>
    <mergeCell ref="B14:D14"/>
    <mergeCell ref="E14:F14"/>
    <mergeCell ref="G14:I14"/>
    <mergeCell ref="B15:D15"/>
    <mergeCell ref="E15:F15"/>
    <mergeCell ref="G15:I15"/>
    <mergeCell ref="E19:F19"/>
    <mergeCell ref="G19:I19"/>
    <mergeCell ref="T5:T7"/>
    <mergeCell ref="J6:L6"/>
    <mergeCell ref="M6:M7"/>
    <mergeCell ref="P6:P7"/>
    <mergeCell ref="Q6:Q7"/>
    <mergeCell ref="R6:R7"/>
    <mergeCell ref="S6:S7"/>
    <mergeCell ref="P5:Q5"/>
    <mergeCell ref="R5:S5"/>
    <mergeCell ref="A1:T1"/>
    <mergeCell ref="A2:T2"/>
    <mergeCell ref="A4:T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M5"/>
    <mergeCell ref="N5:N7"/>
    <mergeCell ref="O5:O7"/>
    <mergeCell ref="A3:T3"/>
    <mergeCell ref="B20:I26"/>
    <mergeCell ref="B17:D17"/>
    <mergeCell ref="E17:F17"/>
    <mergeCell ref="G17:I17"/>
    <mergeCell ref="B18:D18"/>
    <mergeCell ref="E18:F18"/>
    <mergeCell ref="G18:I18"/>
  </mergeCells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Introductory</vt:lpstr>
      <vt:lpstr>Table I</vt:lpstr>
      <vt:lpstr>Table II</vt:lpstr>
      <vt:lpstr>Table III</vt:lpstr>
      <vt:lpstr>Table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Dattani</dc:creator>
  <cp:lastModifiedBy>Sreeti Dey</cp:lastModifiedBy>
  <cp:lastPrinted>2025-07-09T10:52:51Z</cp:lastPrinted>
  <dcterms:created xsi:type="dcterms:W3CDTF">2019-01-25T19:19:24Z</dcterms:created>
  <dcterms:modified xsi:type="dcterms:W3CDTF">2025-07-09T10:53:00Z</dcterms:modified>
  <cp:contentStatus/>
</cp:coreProperties>
</file>